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EstaPasta_de_trabalho"/>
  <bookViews>
    <workbookView xWindow="32760" yWindow="32760" windowWidth="20490" windowHeight="6930" tabRatio="602" activeTab="1"/>
  </bookViews>
  <sheets>
    <sheet name="Parâmetros" sheetId="7" r:id="rId1"/>
    <sheet name="Projeções" sheetId="26" r:id="rId2"/>
    <sheet name="RCL" sheetId="45" r:id="rId3"/>
    <sheet name="Pessoal" sheetId="46" r:id="rId4"/>
    <sheet name="Dívida" sheetId="4" r:id="rId5"/>
    <sheet name="RPrim-Nom" sheetId="47" r:id="rId6"/>
    <sheet name="Metas Cons" sheetId="28" r:id="rId7"/>
    <sheet name="MetasRPPS" sheetId="37" r:id="rId8"/>
    <sheet name=" Avaliação" sheetId="29" r:id="rId9"/>
    <sheet name="Comparação" sheetId="30" r:id="rId10"/>
    <sheet name=" Patrimônio" sheetId="31" r:id="rId11"/>
    <sheet name=" Alienação" sheetId="32" r:id="rId12"/>
    <sheet name="RPPS-Financeiro" sheetId="40" r:id="rId13"/>
    <sheet name="Renúncia" sheetId="34" r:id="rId14"/>
    <sheet name="DOCC" sheetId="35" r:id="rId15"/>
    <sheet name="DOCC(alternativa)" sheetId="39" r:id="rId16"/>
    <sheet name="Anexo Riscos" sheetId="44" r:id="rId17"/>
    <sheet name="Anexo III - Metas e Prioridades" sheetId="43" r:id="rId18"/>
    <sheet name="Anexo IV - Consdo Patrimônio" sheetId="42" r:id="rId19"/>
    <sheet name="Plan1" sheetId="48" r:id="rId20"/>
  </sheets>
  <definedNames>
    <definedName name="_xlnm.Print_Area" localSheetId="0">Parâmetros!$A$7:$G$26</definedName>
    <definedName name="_xlnm.Print_Area" localSheetId="1">Projeções!$A$1:$AL$167</definedName>
    <definedName name="OLE_LINK1" localSheetId="17">'Anexo III - Metas e Prioridades'!$A$520</definedName>
    <definedName name="OLE_LINK2" localSheetId="17">'Anexo III - Metas e Prioridades'!$A$1</definedName>
    <definedName name="Z_16B3F100_CCE8_11D8_BD62_000C6E3CD3F1_.wvu.Cols" localSheetId="0" hidden="1">Parâmetros!$C:$C,Parâmetros!#REF!</definedName>
    <definedName name="Z_16B3F100_CCE8_11D8_BD62_000C6E3CD3F1_.wvu.Rows" localSheetId="4" hidden="1">Dívida!$23:$23,Dívida!#REF!</definedName>
    <definedName name="Z_16B3F100_CCE8_11D8_BD62_000C6E3CD3F1_.wvu.Rows" localSheetId="0" hidden="1">Parâmetros!$1:$6,Parâmetros!#REF!,Parâmetros!$12:$12</definedName>
  </definedNames>
  <calcPr calcId="125725"/>
  <customWorkbookViews>
    <customWorkbookView name="Julio - Modo de exibição pessoal" guid="{16B3F100-CCE8-11D8-BD62-000C6E3CD3F1}" mergeInterval="0" personalView="1" maximized="1" windowWidth="796" windowHeight="438" tabRatio="602" activeSheetId="17" showComments="commIndAndComment"/>
  </customWorkbookViews>
</workbook>
</file>

<file path=xl/calcChain.xml><?xml version="1.0" encoding="utf-8"?>
<calcChain xmlns="http://schemas.openxmlformats.org/spreadsheetml/2006/main">
  <c r="N65" i="30"/>
  <c r="N64"/>
  <c r="N63"/>
  <c r="N61"/>
  <c r="N60"/>
  <c r="N59"/>
  <c r="N62" s="1"/>
  <c r="N58"/>
  <c r="N56"/>
  <c r="G136" i="26"/>
  <c r="B11" i="28"/>
  <c r="G127" i="26"/>
  <c r="E97" i="43"/>
  <c r="F141" i="26"/>
  <c r="H140"/>
  <c r="F12" i="34"/>
  <c r="E17" i="43"/>
  <c r="E352"/>
  <c r="G139" i="26" l="1"/>
  <c r="B10" i="31"/>
  <c r="D18"/>
  <c r="Q73" i="40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56"/>
  <c r="Q57"/>
  <c r="Q58"/>
  <c r="Q59"/>
  <c r="Q60"/>
  <c r="Q61"/>
  <c r="Q62"/>
  <c r="Q63"/>
  <c r="Q64"/>
  <c r="Q65"/>
  <c r="Q66"/>
  <c r="Q67"/>
  <c r="Q68"/>
  <c r="Q69"/>
  <c r="Q70"/>
  <c r="Q71"/>
  <c r="Q72"/>
  <c r="Q54"/>
  <c r="S18"/>
  <c r="F104"/>
  <c r="B117"/>
  <c r="B137" s="1"/>
  <c r="F117"/>
  <c r="F137" s="1"/>
  <c r="H95"/>
  <c r="H85" s="1"/>
  <c r="H117" s="1"/>
  <c r="E553" i="43"/>
  <c r="E502"/>
  <c r="E464"/>
  <c r="E383"/>
  <c r="E303"/>
  <c r="E267"/>
  <c r="E225"/>
  <c r="E147"/>
  <c r="E98"/>
  <c r="E55"/>
  <c r="E19"/>
  <c r="H51" i="40"/>
  <c r="H50" s="1"/>
  <c r="H62" s="1"/>
  <c r="F51"/>
  <c r="F50" s="1"/>
  <c r="F62" s="1"/>
  <c r="B51"/>
  <c r="B50" s="1"/>
  <c r="B62" s="1"/>
  <c r="H22"/>
  <c r="H21" s="1"/>
  <c r="H11" s="1"/>
  <c r="H44" s="1"/>
  <c r="F23"/>
  <c r="F22" s="1"/>
  <c r="B23"/>
  <c r="B21" s="1"/>
  <c r="B11" s="1"/>
  <c r="B44" s="1"/>
  <c r="B15" i="29"/>
  <c r="D11" i="4"/>
  <c r="B11"/>
  <c r="C11"/>
  <c r="E101" i="26"/>
  <c r="E42"/>
  <c r="E26"/>
  <c r="E12"/>
  <c r="E10"/>
  <c r="C101"/>
  <c r="C99" s="1"/>
  <c r="C51"/>
  <c r="D50"/>
  <c r="D48"/>
  <c r="D51"/>
  <c r="D26"/>
  <c r="C26"/>
  <c r="D12"/>
  <c r="C12"/>
  <c r="C11"/>
  <c r="D10"/>
  <c r="F12"/>
  <c r="F9"/>
  <c r="F147" s="1"/>
  <c r="F101"/>
  <c r="L27" i="42"/>
  <c r="G18" i="26"/>
  <c r="H18" s="1"/>
  <c r="I18" s="1"/>
  <c r="G19"/>
  <c r="G20"/>
  <c r="H20" s="1"/>
  <c r="I20" s="1"/>
  <c r="G21"/>
  <c r="H21" s="1"/>
  <c r="I21" s="1"/>
  <c r="H22"/>
  <c r="I22" s="1"/>
  <c r="G24"/>
  <c r="H26"/>
  <c r="H28"/>
  <c r="G29"/>
  <c r="H29" s="1"/>
  <c r="I29" s="1"/>
  <c r="G30"/>
  <c r="H30" s="1"/>
  <c r="I30" s="1"/>
  <c r="G31"/>
  <c r="H31" s="1"/>
  <c r="I31" s="1"/>
  <c r="G32"/>
  <c r="H32" s="1"/>
  <c r="I32" s="1"/>
  <c r="G33"/>
  <c r="H33" s="1"/>
  <c r="I33" s="1"/>
  <c r="G34"/>
  <c r="H34" s="1"/>
  <c r="I34" s="1"/>
  <c r="G35"/>
  <c r="H35" s="1"/>
  <c r="I35" s="1"/>
  <c r="G37"/>
  <c r="H37" s="1"/>
  <c r="G38"/>
  <c r="H46"/>
  <c r="I46" s="1"/>
  <c r="G47"/>
  <c r="H47" s="1"/>
  <c r="I47" s="1"/>
  <c r="G48"/>
  <c r="H48" s="1"/>
  <c r="I48" s="1"/>
  <c r="G50"/>
  <c r="H50" s="1"/>
  <c r="I50" s="1"/>
  <c r="G56"/>
  <c r="H56" s="1"/>
  <c r="I56" s="1"/>
  <c r="G57"/>
  <c r="H57" s="1"/>
  <c r="I57" s="1"/>
  <c r="H58"/>
  <c r="I58" s="1"/>
  <c r="G59"/>
  <c r="H59" s="1"/>
  <c r="I59" s="1"/>
  <c r="G60"/>
  <c r="H60" s="1"/>
  <c r="I60" s="1"/>
  <c r="G61"/>
  <c r="H61" s="1"/>
  <c r="I61" s="1"/>
  <c r="G62"/>
  <c r="H62" s="1"/>
  <c r="I62" s="1"/>
  <c r="G64"/>
  <c r="H64" s="1"/>
  <c r="I64" s="1"/>
  <c r="G65"/>
  <c r="H65" s="1"/>
  <c r="I65" s="1"/>
  <c r="H67"/>
  <c r="G69"/>
  <c r="H69" s="1"/>
  <c r="G70"/>
  <c r="H70" s="1"/>
  <c r="I70" s="1"/>
  <c r="G72"/>
  <c r="D10" i="45" s="1"/>
  <c r="G73" i="26"/>
  <c r="H73" s="1"/>
  <c r="I73" s="1"/>
  <c r="G74"/>
  <c r="H74" s="1"/>
  <c r="G75"/>
  <c r="H75" s="1"/>
  <c r="I75" s="1"/>
  <c r="G76"/>
  <c r="H76" s="1"/>
  <c r="I76" s="1"/>
  <c r="G77"/>
  <c r="H77" s="1"/>
  <c r="I77" s="1"/>
  <c r="G100"/>
  <c r="H100" s="1"/>
  <c r="I100" s="1"/>
  <c r="G102"/>
  <c r="H102" s="1"/>
  <c r="I102" s="1"/>
  <c r="G103"/>
  <c r="H103" s="1"/>
  <c r="I103" s="1"/>
  <c r="I79"/>
  <c r="G81"/>
  <c r="H81" s="1"/>
  <c r="G82"/>
  <c r="H82" s="1"/>
  <c r="H83"/>
  <c r="I83" s="1"/>
  <c r="G84"/>
  <c r="H84" s="1"/>
  <c r="I84" s="1"/>
  <c r="G85"/>
  <c r="H85" s="1"/>
  <c r="H87"/>
  <c r="G88"/>
  <c r="H88" s="1"/>
  <c r="I88" s="1"/>
  <c r="G89"/>
  <c r="G90"/>
  <c r="H90" s="1"/>
  <c r="I90" s="1"/>
  <c r="G91"/>
  <c r="H91" s="1"/>
  <c r="I91" s="1"/>
  <c r="G92"/>
  <c r="H92" s="1"/>
  <c r="I92" s="1"/>
  <c r="G93"/>
  <c r="H93" s="1"/>
  <c r="I93" s="1"/>
  <c r="G95"/>
  <c r="H95" s="1"/>
  <c r="G96"/>
  <c r="E17" i="47" s="1"/>
  <c r="G119" i="26"/>
  <c r="G120"/>
  <c r="H120" s="1"/>
  <c r="I120" s="1"/>
  <c r="G121"/>
  <c r="H121" s="1"/>
  <c r="I121" s="1"/>
  <c r="G132"/>
  <c r="H132" s="1"/>
  <c r="I132" s="1"/>
  <c r="G133"/>
  <c r="H133" s="1"/>
  <c r="I133" s="1"/>
  <c r="G134"/>
  <c r="H136"/>
  <c r="I136" s="1"/>
  <c r="G137"/>
  <c r="H137" s="1"/>
  <c r="G138"/>
  <c r="H138" s="1"/>
  <c r="I138" s="1"/>
  <c r="E39" i="47"/>
  <c r="F39" s="1"/>
  <c r="G39" s="1"/>
  <c r="E40"/>
  <c r="F40" s="1"/>
  <c r="G40" s="1"/>
  <c r="E41"/>
  <c r="F41" s="1"/>
  <c r="G41" s="1"/>
  <c r="E42"/>
  <c r="E43"/>
  <c r="E44"/>
  <c r="F44" s="1"/>
  <c r="G44" s="1"/>
  <c r="E45"/>
  <c r="F45" s="1"/>
  <c r="G45" s="1"/>
  <c r="E46"/>
  <c r="F46" s="1"/>
  <c r="E47"/>
  <c r="E48"/>
  <c r="F48" s="1"/>
  <c r="G48" s="1"/>
  <c r="E49"/>
  <c r="E50"/>
  <c r="E51"/>
  <c r="E52"/>
  <c r="E53"/>
  <c r="F53" s="1"/>
  <c r="G53" s="1"/>
  <c r="E54"/>
  <c r="F54" s="1"/>
  <c r="G54" s="1"/>
  <c r="E55"/>
  <c r="F55" s="1"/>
  <c r="G55" s="1"/>
  <c r="E60"/>
  <c r="F60" s="1"/>
  <c r="E61"/>
  <c r="E62"/>
  <c r="F62" s="1"/>
  <c r="G62" s="1"/>
  <c r="E63"/>
  <c r="F63" s="1"/>
  <c r="G63" s="1"/>
  <c r="E64"/>
  <c r="F64" s="1"/>
  <c r="G64" s="1"/>
  <c r="E65"/>
  <c r="E66"/>
  <c r="F66" s="1"/>
  <c r="G66" s="1"/>
  <c r="E67"/>
  <c r="E68"/>
  <c r="F68" s="1"/>
  <c r="G68" s="1"/>
  <c r="E69"/>
  <c r="F69" s="1"/>
  <c r="G69" s="1"/>
  <c r="E70"/>
  <c r="F70" s="1"/>
  <c r="G70" s="1"/>
  <c r="E71"/>
  <c r="E72"/>
  <c r="F72" s="1"/>
  <c r="G72" s="1"/>
  <c r="E73"/>
  <c r="E74"/>
  <c r="E75"/>
  <c r="F75" s="1"/>
  <c r="G75" s="1"/>
  <c r="E76"/>
  <c r="F76" s="1"/>
  <c r="G76" s="1"/>
  <c r="H79" i="26"/>
  <c r="F14" i="47" s="1"/>
  <c r="G79" i="26"/>
  <c r="E14" i="47" s="1"/>
  <c r="E28"/>
  <c r="E14" i="4"/>
  <c r="F14" s="1"/>
  <c r="E13"/>
  <c r="E12"/>
  <c r="F12" s="1"/>
  <c r="E10"/>
  <c r="F10" s="1"/>
  <c r="G10" s="1"/>
  <c r="E9"/>
  <c r="F9" s="1"/>
  <c r="G9" s="1"/>
  <c r="E8"/>
  <c r="F8" s="1"/>
  <c r="D7"/>
  <c r="E17" i="30" s="1"/>
  <c r="C7" i="4"/>
  <c r="E17" i="29" s="1"/>
  <c r="H17" s="1"/>
  <c r="I17" s="1"/>
  <c r="B7" i="4"/>
  <c r="B17" i="30" s="1"/>
  <c r="D11" i="32"/>
  <c r="D12"/>
  <c r="C11"/>
  <c r="C12"/>
  <c r="B11"/>
  <c r="B12"/>
  <c r="B10" s="1"/>
  <c r="D22"/>
  <c r="C10" i="7"/>
  <c r="D10" s="1"/>
  <c r="E10" s="1"/>
  <c r="B21" i="30"/>
  <c r="C21" s="1"/>
  <c r="E21" s="1"/>
  <c r="G21" s="1"/>
  <c r="I21" s="1"/>
  <c r="K21" s="1"/>
  <c r="B9"/>
  <c r="C9" s="1"/>
  <c r="E9" s="1"/>
  <c r="G9" s="1"/>
  <c r="I9" s="1"/>
  <c r="K9" s="1"/>
  <c r="B18" i="4"/>
  <c r="B5"/>
  <c r="C5" s="1"/>
  <c r="D5" s="1"/>
  <c r="E5" s="1"/>
  <c r="F5" s="1"/>
  <c r="G5" s="1"/>
  <c r="B5" i="47"/>
  <c r="B21" s="1"/>
  <c r="D77"/>
  <c r="C77"/>
  <c r="B77"/>
  <c r="D56"/>
  <c r="C56"/>
  <c r="B56"/>
  <c r="E114" i="26"/>
  <c r="C28" i="47"/>
  <c r="C31"/>
  <c r="C9"/>
  <c r="C10"/>
  <c r="C14"/>
  <c r="C15"/>
  <c r="C16"/>
  <c r="C17"/>
  <c r="D9"/>
  <c r="D10"/>
  <c r="D14"/>
  <c r="D15"/>
  <c r="D16"/>
  <c r="D17"/>
  <c r="D28"/>
  <c r="D31"/>
  <c r="D114" i="26"/>
  <c r="C13" i="7" s="1"/>
  <c r="B28" i="47"/>
  <c r="B31"/>
  <c r="B9"/>
  <c r="B10"/>
  <c r="B14"/>
  <c r="B15"/>
  <c r="B16"/>
  <c r="B17"/>
  <c r="F80" i="26"/>
  <c r="E80"/>
  <c r="D80"/>
  <c r="C80"/>
  <c r="C78" s="1"/>
  <c r="F71"/>
  <c r="E71"/>
  <c r="D71"/>
  <c r="C71"/>
  <c r="F68"/>
  <c r="E68"/>
  <c r="E66" s="1"/>
  <c r="D68"/>
  <c r="D66"/>
  <c r="C68"/>
  <c r="F36"/>
  <c r="E36"/>
  <c r="D36"/>
  <c r="C36"/>
  <c r="A1" i="47"/>
  <c r="C7" i="26"/>
  <c r="C112" s="1"/>
  <c r="D112" s="1"/>
  <c r="E112" s="1"/>
  <c r="F112" s="1"/>
  <c r="G112" s="1"/>
  <c r="H112" s="1"/>
  <c r="I112" s="1"/>
  <c r="A3" i="39"/>
  <c r="A3" i="35"/>
  <c r="A3" i="34"/>
  <c r="A3" i="32"/>
  <c r="A3" i="31"/>
  <c r="A3" i="30"/>
  <c r="A3" i="29"/>
  <c r="A3" i="37"/>
  <c r="A108" i="26"/>
  <c r="A107"/>
  <c r="A2"/>
  <c r="A1"/>
  <c r="C9"/>
  <c r="C147" s="1"/>
  <c r="D9"/>
  <c r="D147" s="1"/>
  <c r="E9"/>
  <c r="C15" i="30"/>
  <c r="F122" i="26"/>
  <c r="F159" s="1"/>
  <c r="F114"/>
  <c r="F118"/>
  <c r="D24" i="47" s="1"/>
  <c r="F127" i="26"/>
  <c r="F157" s="1"/>
  <c r="F135"/>
  <c r="F126" s="1"/>
  <c r="D27" i="47" s="1"/>
  <c r="D32" s="1"/>
  <c r="F131" i="26"/>
  <c r="F16"/>
  <c r="F15" s="1"/>
  <c r="F25"/>
  <c r="D8" i="47" s="1"/>
  <c r="F40" i="26"/>
  <c r="F39" s="1"/>
  <c r="F51"/>
  <c r="F86"/>
  <c r="F94"/>
  <c r="C13" i="45"/>
  <c r="E118" i="26"/>
  <c r="C24" i="47"/>
  <c r="E122" i="26"/>
  <c r="E127"/>
  <c r="E126" s="1"/>
  <c r="E131"/>
  <c r="E135"/>
  <c r="D122"/>
  <c r="C14" i="7" s="1"/>
  <c r="D118" i="26"/>
  <c r="B24" i="47" s="1"/>
  <c r="D127" i="26"/>
  <c r="D131"/>
  <c r="D135"/>
  <c r="C122"/>
  <c r="C159" s="1"/>
  <c r="C114"/>
  <c r="C118"/>
  <c r="C127"/>
  <c r="C131"/>
  <c r="C126" s="1"/>
  <c r="C135"/>
  <c r="D22" i="4"/>
  <c r="C22"/>
  <c r="B22"/>
  <c r="D21"/>
  <c r="C21"/>
  <c r="B21"/>
  <c r="A1" i="46"/>
  <c r="C18" i="30"/>
  <c r="C30" s="1"/>
  <c r="C17"/>
  <c r="C16"/>
  <c r="C28" s="1"/>
  <c r="C14"/>
  <c r="D14" s="1"/>
  <c r="C13"/>
  <c r="D13"/>
  <c r="C12"/>
  <c r="C24" s="1"/>
  <c r="C11"/>
  <c r="F11" s="1"/>
  <c r="C5" i="45"/>
  <c r="D5" s="1"/>
  <c r="E5" s="1"/>
  <c r="F5" s="1"/>
  <c r="B8"/>
  <c r="B9"/>
  <c r="B10"/>
  <c r="B11"/>
  <c r="G98" i="26"/>
  <c r="K21" i="28"/>
  <c r="K20"/>
  <c r="K19"/>
  <c r="G21"/>
  <c r="G20"/>
  <c r="G19"/>
  <c r="C21"/>
  <c r="C20"/>
  <c r="C19"/>
  <c r="C8" i="45"/>
  <c r="C9"/>
  <c r="C10"/>
  <c r="C11"/>
  <c r="C40" i="26"/>
  <c r="C39" s="1"/>
  <c r="D40"/>
  <c r="D39" s="1"/>
  <c r="E40"/>
  <c r="E51"/>
  <c r="E39" s="1"/>
  <c r="B12" i="45"/>
  <c r="D101" i="26"/>
  <c r="D99" s="1"/>
  <c r="A2" i="45"/>
  <c r="A1"/>
  <c r="D20" i="4"/>
  <c r="C20"/>
  <c r="B20"/>
  <c r="E16" i="26"/>
  <c r="E15" s="1"/>
  <c r="D16"/>
  <c r="D15"/>
  <c r="C16"/>
  <c r="C15" s="1"/>
  <c r="E25"/>
  <c r="E23" s="1"/>
  <c r="E86"/>
  <c r="E94"/>
  <c r="D25"/>
  <c r="B8" i="47" s="1"/>
  <c r="D86" i="26"/>
  <c r="D94"/>
  <c r="C94"/>
  <c r="C86"/>
  <c r="C25"/>
  <c r="C23" s="1"/>
  <c r="H27" i="42"/>
  <c r="A1" i="44"/>
  <c r="A1" i="32"/>
  <c r="D18"/>
  <c r="C18"/>
  <c r="C22"/>
  <c r="B18"/>
  <c r="B22"/>
  <c r="A1" i="29"/>
  <c r="E150" i="26"/>
  <c r="F25" i="31"/>
  <c r="F24"/>
  <c r="F23"/>
  <c r="D25"/>
  <c r="D24"/>
  <c r="F12"/>
  <c r="D9" s="1"/>
  <c r="F19"/>
  <c r="G19" s="1"/>
  <c r="B25"/>
  <c r="A1"/>
  <c r="E28" i="30"/>
  <c r="E23"/>
  <c r="B28"/>
  <c r="A1"/>
  <c r="G154" i="26"/>
  <c r="C18" i="4"/>
  <c r="D18" s="1"/>
  <c r="E18" s="1"/>
  <c r="F18" s="1"/>
  <c r="G18" s="1"/>
  <c r="A1"/>
  <c r="A1" i="35"/>
  <c r="B20" i="39"/>
  <c r="A1"/>
  <c r="A1" i="28"/>
  <c r="A1" i="37"/>
  <c r="D154" i="26"/>
  <c r="C148"/>
  <c r="C161"/>
  <c r="C162"/>
  <c r="C163" s="1"/>
  <c r="I161"/>
  <c r="I162"/>
  <c r="G161"/>
  <c r="G162"/>
  <c r="G163" s="1"/>
  <c r="F148"/>
  <c r="F161"/>
  <c r="F162"/>
  <c r="F163" s="1"/>
  <c r="E148"/>
  <c r="E161"/>
  <c r="E162"/>
  <c r="E163" s="1"/>
  <c r="D148"/>
  <c r="D161"/>
  <c r="D162"/>
  <c r="D163" s="1"/>
  <c r="I160"/>
  <c r="G160"/>
  <c r="F160"/>
  <c r="E160"/>
  <c r="D160"/>
  <c r="C160"/>
  <c r="I158"/>
  <c r="G158"/>
  <c r="F158"/>
  <c r="E158"/>
  <c r="D158"/>
  <c r="C158"/>
  <c r="I156"/>
  <c r="G156"/>
  <c r="F156"/>
  <c r="E156"/>
  <c r="D156"/>
  <c r="C156"/>
  <c r="F154"/>
  <c r="E154"/>
  <c r="C154"/>
  <c r="I153"/>
  <c r="G153"/>
  <c r="F153"/>
  <c r="E153"/>
  <c r="D153"/>
  <c r="C153"/>
  <c r="I152"/>
  <c r="G152"/>
  <c r="F152"/>
  <c r="E152"/>
  <c r="D152"/>
  <c r="C152"/>
  <c r="I151"/>
  <c r="G151"/>
  <c r="F151"/>
  <c r="E151"/>
  <c r="D151"/>
  <c r="C151"/>
  <c r="I150"/>
  <c r="G150"/>
  <c r="F150"/>
  <c r="D150"/>
  <c r="C150"/>
  <c r="I149"/>
  <c r="G149"/>
  <c r="F149"/>
  <c r="E149"/>
  <c r="D149"/>
  <c r="C149"/>
  <c r="F143"/>
  <c r="E143"/>
  <c r="D143"/>
  <c r="B24" i="34"/>
  <c r="E11" s="1"/>
  <c r="B25"/>
  <c r="D18"/>
  <c r="A1"/>
  <c r="A1" i="40"/>
  <c r="B23" i="30"/>
  <c r="H16" i="29"/>
  <c r="I16" s="1"/>
  <c r="E25" i="30"/>
  <c r="B25"/>
  <c r="E26"/>
  <c r="I154" i="26"/>
  <c r="B24" i="30"/>
  <c r="D24" s="1"/>
  <c r="B26"/>
  <c r="E15"/>
  <c r="E24"/>
  <c r="E27" s="1"/>
  <c r="F14"/>
  <c r="B15"/>
  <c r="D15" s="1"/>
  <c r="D11" i="45"/>
  <c r="E14" i="34"/>
  <c r="C5" i="47"/>
  <c r="D5" s="1"/>
  <c r="E5" s="1"/>
  <c r="F5" s="1"/>
  <c r="G5" s="1"/>
  <c r="D17" i="32"/>
  <c r="B17"/>
  <c r="C29" i="30"/>
  <c r="F13"/>
  <c r="C25"/>
  <c r="F25" s="1"/>
  <c r="F71" i="47"/>
  <c r="G71" s="1"/>
  <c r="F67"/>
  <c r="G67"/>
  <c r="C15" i="4"/>
  <c r="E18" i="29" s="1"/>
  <c r="H18" s="1"/>
  <c r="I18" s="1"/>
  <c r="C157" i="26"/>
  <c r="E159"/>
  <c r="F78"/>
  <c r="D13" i="47" s="1"/>
  <c r="D10" i="32"/>
  <c r="D26" s="1"/>
  <c r="F23" i="26"/>
  <c r="C20" i="7"/>
  <c r="E113" i="26"/>
  <c r="C23" i="47" s="1"/>
  <c r="C25" s="1"/>
  <c r="G18" i="31"/>
  <c r="C16" i="7"/>
  <c r="D13"/>
  <c r="F13" i="4"/>
  <c r="G13" s="1"/>
  <c r="G36" i="26"/>
  <c r="H38"/>
  <c r="I38" s="1"/>
  <c r="B17" i="7"/>
  <c r="B22" i="31"/>
  <c r="D22" s="1"/>
  <c r="F22" s="1"/>
  <c r="H27" i="26"/>
  <c r="I27" s="1"/>
  <c r="E9" i="47"/>
  <c r="F51"/>
  <c r="G51" s="1"/>
  <c r="H89" i="26"/>
  <c r="I89" s="1"/>
  <c r="E99"/>
  <c r="E147"/>
  <c r="H119"/>
  <c r="I119" s="1"/>
  <c r="H96"/>
  <c r="I96" s="1"/>
  <c r="G17" i="47" s="1"/>
  <c r="B13" i="45"/>
  <c r="C17" i="7"/>
  <c r="F66" i="26"/>
  <c r="B16" i="7"/>
  <c r="E16" s="1"/>
  <c r="F99" i="26"/>
  <c r="C12" i="45"/>
  <c r="F9" i="47"/>
  <c r="E11" i="45"/>
  <c r="I28" i="26"/>
  <c r="G9" i="47" s="1"/>
  <c r="B20" i="7"/>
  <c r="D126" i="26"/>
  <c r="B27" i="47" s="1"/>
  <c r="D159" i="26"/>
  <c r="G17" i="31"/>
  <c r="G16"/>
  <c r="D16"/>
  <c r="D19" s="1"/>
  <c r="G9"/>
  <c r="G11"/>
  <c r="G10"/>
  <c r="G12"/>
  <c r="F15" i="30"/>
  <c r="D15" i="4"/>
  <c r="E18" i="30" s="1"/>
  <c r="F18" s="1"/>
  <c r="F21" i="40"/>
  <c r="F11" s="1"/>
  <c r="F44" s="1"/>
  <c r="B22"/>
  <c r="F26" i="31"/>
  <c r="G24" s="1"/>
  <c r="B24"/>
  <c r="B32" i="47" l="1"/>
  <c r="F16"/>
  <c r="C23" i="30"/>
  <c r="F23" s="1"/>
  <c r="E17" i="7"/>
  <c r="D11" i="30"/>
  <c r="F14" i="34"/>
  <c r="C27" i="47"/>
  <c r="C32" s="1"/>
  <c r="E141" i="26"/>
  <c r="E13" i="29" s="1"/>
  <c r="B64" i="40"/>
  <c r="F64"/>
  <c r="B15" i="7"/>
  <c r="E17" i="34"/>
  <c r="F17" s="1"/>
  <c r="E7" i="4"/>
  <c r="F113" i="26"/>
  <c r="F155" s="1"/>
  <c r="E13" i="34"/>
  <c r="F13" s="1"/>
  <c r="E78" i="26"/>
  <c r="C13" i="47" s="1"/>
  <c r="C18" s="1"/>
  <c r="B15" i="32"/>
  <c r="C15" s="1"/>
  <c r="D15" s="1"/>
  <c r="D113" i="26"/>
  <c r="B23" i="47" s="1"/>
  <c r="B25" s="1"/>
  <c r="B33" s="1"/>
  <c r="G135" i="26"/>
  <c r="G126" s="1"/>
  <c r="G14" i="4"/>
  <c r="B14" i="7"/>
  <c r="C8" i="47"/>
  <c r="B15" i="31"/>
  <c r="D15" s="1"/>
  <c r="F15" s="1"/>
  <c r="D23" i="26"/>
  <c r="E11" i="4"/>
  <c r="F16" i="30"/>
  <c r="D12"/>
  <c r="I163" i="26"/>
  <c r="C17" i="32"/>
  <c r="B8"/>
  <c r="C8" s="1"/>
  <c r="D8" s="1"/>
  <c r="C10"/>
  <c r="C113" i="26"/>
  <c r="C141" s="1"/>
  <c r="C155" s="1"/>
  <c r="B15" i="4"/>
  <c r="B18" i="30" s="1"/>
  <c r="D18" s="1"/>
  <c r="E15" i="34"/>
  <c r="B27" i="30"/>
  <c r="D78" i="26"/>
  <c r="B13" i="47" s="1"/>
  <c r="B13" i="7"/>
  <c r="E13" s="1"/>
  <c r="C66" i="26"/>
  <c r="B10" i="40"/>
  <c r="I118" i="26"/>
  <c r="G24" i="47" s="1"/>
  <c r="C7" i="45"/>
  <c r="E31" i="47"/>
  <c r="G80" i="26"/>
  <c r="E10" i="47"/>
  <c r="G94" i="26"/>
  <c r="D18" i="47"/>
  <c r="F11" i="34"/>
  <c r="B18" i="47"/>
  <c r="H68" i="26"/>
  <c r="G86"/>
  <c r="E22" i="4"/>
  <c r="E56" i="47"/>
  <c r="G68" i="26"/>
  <c r="G66" s="1"/>
  <c r="H118"/>
  <c r="F24" i="47" s="1"/>
  <c r="D7" i="26"/>
  <c r="E7" s="1"/>
  <c r="F7" s="1"/>
  <c r="G7" s="1"/>
  <c r="H7" s="1"/>
  <c r="I7" s="1"/>
  <c r="E15" i="47"/>
  <c r="K21" i="31"/>
  <c r="E19"/>
  <c r="E17"/>
  <c r="E16"/>
  <c r="B16"/>
  <c r="B19" s="1"/>
  <c r="C19" s="1"/>
  <c r="E18"/>
  <c r="E29" i="30"/>
  <c r="F17"/>
  <c r="F11" i="4"/>
  <c r="G12"/>
  <c r="G11" s="1"/>
  <c r="G15" s="1"/>
  <c r="J18" i="28" s="1"/>
  <c r="D12" i="31"/>
  <c r="D23"/>
  <c r="D26" s="1"/>
  <c r="I37" i="26"/>
  <c r="I36" s="1"/>
  <c r="H36"/>
  <c r="H64" i="40"/>
  <c r="G8" i="4"/>
  <c r="G7" s="1"/>
  <c r="J17" i="28" s="1"/>
  <c r="F7" i="4"/>
  <c r="F17" i="28" s="1"/>
  <c r="B17"/>
  <c r="D8" i="26"/>
  <c r="E157"/>
  <c r="D20" i="7"/>
  <c r="E20" s="1"/>
  <c r="G26" i="31"/>
  <c r="F17" i="47"/>
  <c r="C33"/>
  <c r="E8" i="26"/>
  <c r="C7" i="47" s="1"/>
  <c r="G25" i="31"/>
  <c r="D141" i="26"/>
  <c r="D155" s="1"/>
  <c r="E155"/>
  <c r="D23" i="47"/>
  <c r="D25" s="1"/>
  <c r="D33" s="1"/>
  <c r="E16" i="34"/>
  <c r="F16" s="1"/>
  <c r="F15"/>
  <c r="D157" i="26"/>
  <c r="B8" i="31"/>
  <c r="D8" s="1"/>
  <c r="F8" s="1"/>
  <c r="C26" i="32"/>
  <c r="B26" s="1"/>
  <c r="E16" i="47"/>
  <c r="F11" i="45"/>
  <c r="F8" i="26"/>
  <c r="K18" i="28"/>
  <c r="K30" i="30" s="1"/>
  <c r="K18"/>
  <c r="E164" i="26"/>
  <c r="E165" s="1"/>
  <c r="B6" i="45"/>
  <c r="E146" i="26"/>
  <c r="E105"/>
  <c r="E11" i="29" s="1"/>
  <c r="D17" i="30"/>
  <c r="B29"/>
  <c r="D29" s="1"/>
  <c r="C8" i="26"/>
  <c r="F10" i="7"/>
  <c r="B8" i="37"/>
  <c r="E8" s="1"/>
  <c r="H8" s="1"/>
  <c r="B6" i="46"/>
  <c r="D10" i="34"/>
  <c r="E10" s="1"/>
  <c r="F10" s="1"/>
  <c r="B14" i="46"/>
  <c r="B7" i="28"/>
  <c r="F7" s="1"/>
  <c r="J7" s="1"/>
  <c r="F146" i="26"/>
  <c r="F164"/>
  <c r="F165" s="1"/>
  <c r="C6" i="45"/>
  <c r="D7" i="47"/>
  <c r="D11" s="1"/>
  <c r="F105" i="26"/>
  <c r="B37" i="47"/>
  <c r="C37" s="1"/>
  <c r="D37" s="1"/>
  <c r="E37" s="1"/>
  <c r="F37" s="1"/>
  <c r="G37" s="1"/>
  <c r="C21"/>
  <c r="D21" s="1"/>
  <c r="E21" s="1"/>
  <c r="F21" s="1"/>
  <c r="G21" s="1"/>
  <c r="D164" i="26"/>
  <c r="D165" s="1"/>
  <c r="D105"/>
  <c r="D146"/>
  <c r="B7" i="47"/>
  <c r="B11" s="1"/>
  <c r="B19" s="1"/>
  <c r="D23" i="30"/>
  <c r="B7" i="45"/>
  <c r="E77" i="47"/>
  <c r="H80" i="26"/>
  <c r="G148"/>
  <c r="C17" i="31"/>
  <c r="G23"/>
  <c r="E25"/>
  <c r="E12"/>
  <c r="K12"/>
  <c r="E30" i="30"/>
  <c r="F30" s="1"/>
  <c r="C26"/>
  <c r="C15" i="7"/>
  <c r="E15" s="1"/>
  <c r="F15" s="1"/>
  <c r="G15" s="1"/>
  <c r="G131" i="26"/>
  <c r="G25"/>
  <c r="E8" i="47" s="1"/>
  <c r="C16" i="31"/>
  <c r="E9"/>
  <c r="E14" i="7"/>
  <c r="G124" i="26" s="1"/>
  <c r="C18" i="31"/>
  <c r="F29" i="30"/>
  <c r="D25"/>
  <c r="F28"/>
  <c r="G118" i="26"/>
  <c r="E24" i="47" s="1"/>
  <c r="F10"/>
  <c r="B14" i="45"/>
  <c r="G13" i="29" s="1"/>
  <c r="D28" i="30"/>
  <c r="H135" i="26"/>
  <c r="G53"/>
  <c r="G54"/>
  <c r="I137"/>
  <c r="I135" s="1"/>
  <c r="F22" i="4"/>
  <c r="F15" i="47"/>
  <c r="I85" i="26"/>
  <c r="G15" i="47" s="1"/>
  <c r="I67" i="26"/>
  <c r="I26"/>
  <c r="I25" s="1"/>
  <c r="G8" i="47" s="1"/>
  <c r="H25" i="26"/>
  <c r="F8" i="47" s="1"/>
  <c r="C27" i="30"/>
  <c r="F27" s="1"/>
  <c r="F24"/>
  <c r="I95" i="26"/>
  <c r="I94" s="1"/>
  <c r="H94"/>
  <c r="I87"/>
  <c r="I86" s="1"/>
  <c r="H86"/>
  <c r="H13" i="29"/>
  <c r="I13" s="1"/>
  <c r="E14"/>
  <c r="F17" i="7"/>
  <c r="G21" i="4"/>
  <c r="E18" i="34"/>
  <c r="D16" i="30"/>
  <c r="F12"/>
  <c r="F74" i="47"/>
  <c r="G74" s="1"/>
  <c r="F61"/>
  <c r="G61" s="1"/>
  <c r="F52"/>
  <c r="G52" s="1"/>
  <c r="F50"/>
  <c r="G50" s="1"/>
  <c r="F47"/>
  <c r="G47" s="1"/>
  <c r="H134" i="26"/>
  <c r="I134" s="1"/>
  <c r="I131" s="1"/>
  <c r="E21" i="4"/>
  <c r="I82" i="26"/>
  <c r="G14" i="47"/>
  <c r="H72" i="26"/>
  <c r="I69"/>
  <c r="I68" s="1"/>
  <c r="H24"/>
  <c r="H19"/>
  <c r="I19" s="1"/>
  <c r="I148" s="1"/>
  <c r="G31" i="47"/>
  <c r="F31"/>
  <c r="F21" i="4"/>
  <c r="G28" i="47"/>
  <c r="I81" i="26"/>
  <c r="F28" i="47"/>
  <c r="F43"/>
  <c r="G43" s="1"/>
  <c r="F18" i="34"/>
  <c r="F73" i="47"/>
  <c r="G73" s="1"/>
  <c r="F65"/>
  <c r="G65" s="1"/>
  <c r="G60"/>
  <c r="F49"/>
  <c r="G49" s="1"/>
  <c r="G46"/>
  <c r="F42"/>
  <c r="I74" i="26"/>
  <c r="G43"/>
  <c r="G42"/>
  <c r="G44"/>
  <c r="F16" i="7"/>
  <c r="G16" s="1"/>
  <c r="G49" i="26"/>
  <c r="G55"/>
  <c r="G117" l="1"/>
  <c r="B35" i="47"/>
  <c r="B79" s="1"/>
  <c r="B30" i="30"/>
  <c r="D30" s="1"/>
  <c r="C11" i="47"/>
  <c r="C19" s="1"/>
  <c r="H53" i="26"/>
  <c r="G78"/>
  <c r="E13" i="47" s="1"/>
  <c r="E18" s="1"/>
  <c r="F10" i="40"/>
  <c r="B46"/>
  <c r="B69" s="1"/>
  <c r="B72" s="1"/>
  <c r="B78" s="1"/>
  <c r="B84" s="1"/>
  <c r="B119" s="1"/>
  <c r="B139" s="1"/>
  <c r="G10" i="47"/>
  <c r="E15" i="4"/>
  <c r="B18" i="28" s="1"/>
  <c r="G17" i="26"/>
  <c r="G16" s="1"/>
  <c r="G15" s="1"/>
  <c r="F56" i="47"/>
  <c r="G97" i="26"/>
  <c r="C35" i="47"/>
  <c r="C79" s="1"/>
  <c r="G17" i="29"/>
  <c r="F13" i="7"/>
  <c r="H116" i="26" s="1"/>
  <c r="C14" i="45"/>
  <c r="D19" i="47"/>
  <c r="D35" s="1"/>
  <c r="D79" s="1"/>
  <c r="I17" i="30"/>
  <c r="G17" i="28"/>
  <c r="I29" i="30" s="1"/>
  <c r="F15" i="4"/>
  <c r="F18" i="28" s="1"/>
  <c r="G17" i="30"/>
  <c r="C17" i="28"/>
  <c r="G29" i="30" s="1"/>
  <c r="B9" i="31"/>
  <c r="E10"/>
  <c r="B58" i="47"/>
  <c r="C58" s="1"/>
  <c r="D58" s="1"/>
  <c r="E58" s="1"/>
  <c r="F58" s="1"/>
  <c r="G58" s="1"/>
  <c r="H29" i="30"/>
  <c r="K17" i="28"/>
  <c r="K29" i="30" s="1"/>
  <c r="K17"/>
  <c r="E24" i="31"/>
  <c r="E26"/>
  <c r="E23"/>
  <c r="H54" i="26"/>
  <c r="G23"/>
  <c r="G17" i="7"/>
  <c r="F14"/>
  <c r="G14" s="1"/>
  <c r="G125" i="26"/>
  <c r="H125" s="1"/>
  <c r="I125" s="1"/>
  <c r="F20" i="7"/>
  <c r="G130" i="26"/>
  <c r="H123"/>
  <c r="D26" i="30"/>
  <c r="F26"/>
  <c r="H11" i="29"/>
  <c r="I11" s="1"/>
  <c r="E12"/>
  <c r="C14" i="46"/>
  <c r="G10" i="7"/>
  <c r="C6" i="46"/>
  <c r="H131" i="26"/>
  <c r="F77" i="47"/>
  <c r="C164" i="26"/>
  <c r="C165" s="1"/>
  <c r="C146"/>
  <c r="C105"/>
  <c r="D27" i="30"/>
  <c r="H78" i="26"/>
  <c r="F13" i="47" s="1"/>
  <c r="F18" s="1"/>
  <c r="G42"/>
  <c r="G56" s="1"/>
  <c r="G114" i="26"/>
  <c r="B19" i="35" s="1"/>
  <c r="G16" i="47"/>
  <c r="I80" i="26"/>
  <c r="I78" s="1"/>
  <c r="G13" i="47" s="1"/>
  <c r="G77"/>
  <c r="G22" i="4"/>
  <c r="I24" i="26"/>
  <c r="I23" s="1"/>
  <c r="H23"/>
  <c r="H55"/>
  <c r="I55" s="1"/>
  <c r="I72"/>
  <c r="E10" i="45"/>
  <c r="H66" i="26"/>
  <c r="H14" i="29"/>
  <c r="I14" s="1"/>
  <c r="E15"/>
  <c r="G14"/>
  <c r="D18"/>
  <c r="D16"/>
  <c r="D12"/>
  <c r="D13"/>
  <c r="D11"/>
  <c r="D14"/>
  <c r="G16"/>
  <c r="G11"/>
  <c r="D17"/>
  <c r="D15"/>
  <c r="G18"/>
  <c r="H52" i="26"/>
  <c r="G51"/>
  <c r="H63"/>
  <c r="G11"/>
  <c r="H11" s="1"/>
  <c r="I11" s="1"/>
  <c r="G12"/>
  <c r="H12" s="1"/>
  <c r="I12" s="1"/>
  <c r="G14"/>
  <c r="H14" s="1"/>
  <c r="I14" s="1"/>
  <c r="G13"/>
  <c r="H13" s="1"/>
  <c r="I13" s="1"/>
  <c r="G10"/>
  <c r="I53"/>
  <c r="H43"/>
  <c r="I43" s="1"/>
  <c r="H42"/>
  <c r="I42" s="1"/>
  <c r="H49"/>
  <c r="I49" s="1"/>
  <c r="H44"/>
  <c r="I44" s="1"/>
  <c r="G40"/>
  <c r="G101"/>
  <c r="H41"/>
  <c r="H45"/>
  <c r="I45" s="1"/>
  <c r="H124" l="1"/>
  <c r="I124" s="1"/>
  <c r="C18" i="28"/>
  <c r="G30" i="30" s="1"/>
  <c r="H30" s="1"/>
  <c r="G18"/>
  <c r="H18" s="1"/>
  <c r="F46" i="40"/>
  <c r="F69" s="1"/>
  <c r="F72" s="1"/>
  <c r="F78" s="1"/>
  <c r="F84" s="1"/>
  <c r="F119" s="1"/>
  <c r="F139" s="1"/>
  <c r="H10"/>
  <c r="H46" s="1"/>
  <c r="H69" s="1"/>
  <c r="H72" s="1"/>
  <c r="H78" s="1"/>
  <c r="H84" s="1"/>
  <c r="H119" s="1"/>
  <c r="H139" s="1"/>
  <c r="H51" i="26"/>
  <c r="I54"/>
  <c r="B12" i="37"/>
  <c r="H115" i="26"/>
  <c r="D9" i="45"/>
  <c r="H117" i="26"/>
  <c r="G13" i="7"/>
  <c r="I116" i="26" s="1"/>
  <c r="H17"/>
  <c r="H97"/>
  <c r="J29" i="30"/>
  <c r="L17"/>
  <c r="B12" i="31"/>
  <c r="B23"/>
  <c r="B26" s="1"/>
  <c r="L29" i="30"/>
  <c r="I18"/>
  <c r="G18" i="28"/>
  <c r="I30" i="30" s="1"/>
  <c r="H17"/>
  <c r="J17"/>
  <c r="H130" i="26"/>
  <c r="G157"/>
  <c r="I52"/>
  <c r="I51" s="1"/>
  <c r="I123"/>
  <c r="I122" s="1"/>
  <c r="I159" s="1"/>
  <c r="B14" i="37"/>
  <c r="B15" s="1"/>
  <c r="H128" i="26"/>
  <c r="G20" i="7"/>
  <c r="H129" i="26"/>
  <c r="G122"/>
  <c r="D14" i="46"/>
  <c r="D6"/>
  <c r="H12" i="29"/>
  <c r="I12" s="1"/>
  <c r="G12"/>
  <c r="G18" i="47"/>
  <c r="G15" i="29"/>
  <c r="H15"/>
  <c r="I15" s="1"/>
  <c r="F10" i="45"/>
  <c r="I66" i="26"/>
  <c r="G39"/>
  <c r="B11" i="35" s="1"/>
  <c r="G99" i="26"/>
  <c r="D12" i="45"/>
  <c r="B13" i="35"/>
  <c r="G9" i="26"/>
  <c r="H10"/>
  <c r="D8" i="45"/>
  <c r="D13"/>
  <c r="I63" i="26"/>
  <c r="I41"/>
  <c r="H40"/>
  <c r="H39" s="1"/>
  <c r="H101"/>
  <c r="E27" i="47"/>
  <c r="E32" s="1"/>
  <c r="I130" i="26" l="1"/>
  <c r="H122"/>
  <c r="I115"/>
  <c r="D7" i="45"/>
  <c r="H114" i="26"/>
  <c r="C12" i="37"/>
  <c r="B13"/>
  <c r="C13" s="1"/>
  <c r="I117" i="26"/>
  <c r="I97"/>
  <c r="E14" i="37"/>
  <c r="E15" s="1"/>
  <c r="F15" s="1"/>
  <c r="E9" i="45"/>
  <c r="E12" i="37"/>
  <c r="H16" i="26"/>
  <c r="H15" s="1"/>
  <c r="I17"/>
  <c r="L18" i="30"/>
  <c r="J18"/>
  <c r="L30"/>
  <c r="J30"/>
  <c r="C12" i="31"/>
  <c r="C10"/>
  <c r="C11"/>
  <c r="C9"/>
  <c r="C26"/>
  <c r="C25"/>
  <c r="C23"/>
  <c r="C24"/>
  <c r="I128" i="26"/>
  <c r="C14" i="37"/>
  <c r="I129" i="26"/>
  <c r="G113"/>
  <c r="G141" s="1"/>
  <c r="G159"/>
  <c r="B20" i="35"/>
  <c r="B18" s="1"/>
  <c r="H126" i="26"/>
  <c r="F27" i="47" s="1"/>
  <c r="F32" s="1"/>
  <c r="E12" i="45"/>
  <c r="H99" i="26"/>
  <c r="G8"/>
  <c r="B10" i="35"/>
  <c r="B9" s="1"/>
  <c r="B14" s="1"/>
  <c r="B16" s="1"/>
  <c r="G147" i="26"/>
  <c r="I10"/>
  <c r="H9"/>
  <c r="H8" s="1"/>
  <c r="E8" i="45"/>
  <c r="I40" i="26"/>
  <c r="I39" s="1"/>
  <c r="I101"/>
  <c r="F13" i="45" s="1"/>
  <c r="B16" i="37"/>
  <c r="C15"/>
  <c r="E13" i="45"/>
  <c r="E23" i="47" l="1"/>
  <c r="B13" i="28" s="1"/>
  <c r="G13" i="30" s="1"/>
  <c r="H113" i="26"/>
  <c r="F23" i="47" s="1"/>
  <c r="F25" s="1"/>
  <c r="F33" s="1"/>
  <c r="F14" i="28" s="1"/>
  <c r="I114" i="26"/>
  <c r="I113" s="1"/>
  <c r="G23" i="47" s="1"/>
  <c r="C16" i="37"/>
  <c r="H12"/>
  <c r="I16" i="26"/>
  <c r="I15" s="1"/>
  <c r="F9" i="45"/>
  <c r="I140" i="26"/>
  <c r="H14" i="37" s="1"/>
  <c r="E13"/>
  <c r="F12"/>
  <c r="F14"/>
  <c r="I126" i="26"/>
  <c r="G27" i="47" s="1"/>
  <c r="G32" s="1"/>
  <c r="I157" i="26"/>
  <c r="B22" i="35"/>
  <c r="E7" i="45"/>
  <c r="H105" i="26"/>
  <c r="H139" s="1"/>
  <c r="F7" i="47"/>
  <c r="E6" i="45"/>
  <c r="G146" i="26"/>
  <c r="D6" i="45"/>
  <c r="D14" s="1"/>
  <c r="E7" i="47"/>
  <c r="G105" i="26"/>
  <c r="G155" s="1"/>
  <c r="G164"/>
  <c r="G165" s="1"/>
  <c r="I9"/>
  <c r="F8" i="45"/>
  <c r="I99" i="26"/>
  <c r="F12" i="45"/>
  <c r="C13" i="28" l="1"/>
  <c r="G25" i="30" s="1"/>
  <c r="H25" s="1"/>
  <c r="E13" i="28"/>
  <c r="H141" i="26"/>
  <c r="E25" i="47"/>
  <c r="E33" s="1"/>
  <c r="B14" i="28" s="1"/>
  <c r="C14" s="1"/>
  <c r="G26" i="30" s="1"/>
  <c r="H26" s="1"/>
  <c r="J13" i="28"/>
  <c r="K13" i="30" s="1"/>
  <c r="F13" i="28"/>
  <c r="I13" i="30" s="1"/>
  <c r="G14" i="28"/>
  <c r="I26" i="30" s="1"/>
  <c r="I14"/>
  <c r="G25" i="47"/>
  <c r="G33" s="1"/>
  <c r="J14" i="28" s="1"/>
  <c r="K14" s="1"/>
  <c r="K26" i="30" s="1"/>
  <c r="F13" i="37"/>
  <c r="F16" s="1"/>
  <c r="E16"/>
  <c r="H15"/>
  <c r="I15" s="1"/>
  <c r="I14"/>
  <c r="H13"/>
  <c r="I12"/>
  <c r="E14" i="45"/>
  <c r="F7"/>
  <c r="I147" i="26"/>
  <c r="I8"/>
  <c r="B17" i="46"/>
  <c r="E18" i="28"/>
  <c r="E21"/>
  <c r="B7" i="46"/>
  <c r="E20" i="28"/>
  <c r="B15" i="46"/>
  <c r="B8"/>
  <c r="E17" i="28"/>
  <c r="B16" i="46"/>
  <c r="B9"/>
  <c r="E19" i="28"/>
  <c r="E11" i="47"/>
  <c r="E19" s="1"/>
  <c r="F11"/>
  <c r="F19" s="1"/>
  <c r="F11" i="28"/>
  <c r="H13" i="30"/>
  <c r="J13"/>
  <c r="I17" i="28"/>
  <c r="L13" i="30" l="1"/>
  <c r="K13" i="28"/>
  <c r="K25" i="30" s="1"/>
  <c r="J26"/>
  <c r="E14" i="28"/>
  <c r="G13"/>
  <c r="I25" i="30" s="1"/>
  <c r="J25" s="1"/>
  <c r="G14"/>
  <c r="I13" i="28"/>
  <c r="L26" i="30"/>
  <c r="I20" i="28"/>
  <c r="K14" i="30"/>
  <c r="L14" s="1"/>
  <c r="I13" i="37"/>
  <c r="I16" s="1"/>
  <c r="H16"/>
  <c r="I21" i="28"/>
  <c r="C9" i="46"/>
  <c r="I18" i="28"/>
  <c r="C7" i="46"/>
  <c r="I19" i="28"/>
  <c r="C8" i="46"/>
  <c r="C17"/>
  <c r="I14" i="28"/>
  <c r="C15" i="46"/>
  <c r="C16"/>
  <c r="F12" i="28"/>
  <c r="F35" i="47"/>
  <c r="F79" s="1"/>
  <c r="F16" i="28" s="1"/>
  <c r="G7" i="47"/>
  <c r="I105" i="26"/>
  <c r="I139" s="1"/>
  <c r="I141" s="1"/>
  <c r="I155" s="1"/>
  <c r="F6" i="45"/>
  <c r="F14" s="1"/>
  <c r="I146" i="26"/>
  <c r="I164"/>
  <c r="I165" s="1"/>
  <c r="I11" i="30"/>
  <c r="I11" i="28"/>
  <c r="G11"/>
  <c r="I23" i="30" s="1"/>
  <c r="E35" i="47"/>
  <c r="E79" s="1"/>
  <c r="B16" i="28" s="1"/>
  <c r="B12"/>
  <c r="E11"/>
  <c r="C11"/>
  <c r="G23" i="30" s="1"/>
  <c r="G11"/>
  <c r="L25" l="1"/>
  <c r="H14"/>
  <c r="J14"/>
  <c r="H23"/>
  <c r="J23"/>
  <c r="I16" i="28"/>
  <c r="I16" i="30"/>
  <c r="G16" i="28"/>
  <c r="I28" i="30" s="1"/>
  <c r="H11"/>
  <c r="J11"/>
  <c r="C16" i="28"/>
  <c r="G28" i="30" s="1"/>
  <c r="E16" i="28"/>
  <c r="G16" i="30"/>
  <c r="G11" i="47"/>
  <c r="G19" s="1"/>
  <c r="J11" i="28"/>
  <c r="E12"/>
  <c r="G12" i="30"/>
  <c r="C12" i="28"/>
  <c r="G24" i="30" s="1"/>
  <c r="B15" i="28"/>
  <c r="D17" i="46"/>
  <c r="D9"/>
  <c r="M20" i="28"/>
  <c r="D8" i="46"/>
  <c r="M17" i="28"/>
  <c r="M19"/>
  <c r="D7" i="46"/>
  <c r="M21" i="28"/>
  <c r="D15" i="46"/>
  <c r="D16"/>
  <c r="M18" i="28"/>
  <c r="M14"/>
  <c r="M13"/>
  <c r="G12"/>
  <c r="I24" i="30" s="1"/>
  <c r="I12"/>
  <c r="I12" i="28"/>
  <c r="F15"/>
  <c r="J12" i="30" l="1"/>
  <c r="G15"/>
  <c r="H12"/>
  <c r="J16"/>
  <c r="H16"/>
  <c r="I15"/>
  <c r="H24"/>
  <c r="J24"/>
  <c r="J12" i="28"/>
  <c r="G35" i="47"/>
  <c r="G79" s="1"/>
  <c r="J16" i="28" s="1"/>
  <c r="C15"/>
  <c r="G27" i="30" s="1"/>
  <c r="E15" i="28"/>
  <c r="M11"/>
  <c r="K11"/>
  <c r="K23" i="30" s="1"/>
  <c r="L23" s="1"/>
  <c r="K11"/>
  <c r="L11" s="1"/>
  <c r="H28"/>
  <c r="J28"/>
  <c r="I15" i="28"/>
  <c r="G15"/>
  <c r="I27" i="30" s="1"/>
  <c r="M12" i="28" l="1"/>
  <c r="K12"/>
  <c r="K24" i="30" s="1"/>
  <c r="L24" s="1"/>
  <c r="J15" i="28"/>
  <c r="K12" i="30"/>
  <c r="J15"/>
  <c r="H15"/>
  <c r="K16"/>
  <c r="L16" s="1"/>
  <c r="M16" i="28"/>
  <c r="K16"/>
  <c r="K28" i="30" s="1"/>
  <c r="L28" s="1"/>
  <c r="J27"/>
  <c r="H27"/>
  <c r="K15" i="28" l="1"/>
  <c r="K27" i="30" s="1"/>
  <c r="L27" s="1"/>
  <c r="M15" i="28"/>
  <c r="K15" i="30"/>
  <c r="L15" s="1"/>
  <c r="L12"/>
</calcChain>
</file>

<file path=xl/sharedStrings.xml><?xml version="1.0" encoding="utf-8"?>
<sst xmlns="http://schemas.openxmlformats.org/spreadsheetml/2006/main" count="1440" uniqueCount="813">
  <si>
    <t>CONTAS</t>
  </si>
  <si>
    <t>DESPESAS CORRENTES</t>
  </si>
  <si>
    <t>DESPESAS DE CAPITAL</t>
  </si>
  <si>
    <t>INVESTIMENTOS</t>
  </si>
  <si>
    <t>INVERSÕES FINANCEIRAS</t>
  </si>
  <si>
    <t>Valores em R$</t>
  </si>
  <si>
    <t>FISCAIS</t>
  </si>
  <si>
    <t xml:space="preserve">RESULTADOS </t>
  </si>
  <si>
    <t>CONSOLIDADAS ANUAIS</t>
  </si>
  <si>
    <t>REALIZADO</t>
  </si>
  <si>
    <t>Realizado</t>
  </si>
  <si>
    <t>Previsão</t>
  </si>
  <si>
    <t>PROJETADO</t>
  </si>
  <si>
    <t>%</t>
  </si>
  <si>
    <t>1. RECEITA CORRENTE LÍQUIDA</t>
  </si>
  <si>
    <t>2. RECEITAS DE TRIBUTOS</t>
  </si>
  <si>
    <t>3. RECEITAS FINANCEIRAS</t>
  </si>
  <si>
    <t>4. RENÚNCIA FISCAL</t>
  </si>
  <si>
    <t>5. VALOR LÍQUIDO DO FUNDEF</t>
  </si>
  <si>
    <t>6. TRANSFERÊNCIAS DA UNIÃO</t>
  </si>
  <si>
    <t>7. TRANSFERÊNCIAS DOS ESTADOS</t>
  </si>
  <si>
    <t>8. OPERAÇÕES DE CRÉDITO</t>
  </si>
  <si>
    <t>9. AROS</t>
  </si>
  <si>
    <t>10. PESSOAL ATIVO</t>
  </si>
  <si>
    <t>11. PESSOAL INATIVO</t>
  </si>
  <si>
    <t>12. PENSIONISTAS</t>
  </si>
  <si>
    <t>13. SERVIÇOS DE TERCEIROS</t>
  </si>
  <si>
    <t>14. OUTROS CUSTEIOS CORRENTES</t>
  </si>
  <si>
    <t>16. ENCARGOS DA DÍVIDA</t>
  </si>
  <si>
    <t>17. AMORTIZAÇÕES DA DÍVIDA</t>
  </si>
  <si>
    <t>18. DESPESAS FINANCEIRAS</t>
  </si>
  <si>
    <t>19. RESULTADO PRIMÁRIO</t>
  </si>
  <si>
    <t>20. RESULTADO NOMINAL</t>
  </si>
  <si>
    <t>15. INVESTIMENTOS</t>
  </si>
  <si>
    <t>Operação de Crédito Externo</t>
  </si>
  <si>
    <t xml:space="preserve"> 2.2.3 Dívida Mobiliária</t>
  </si>
  <si>
    <t>LEI DE DIRETRIZES ORÇAMENTÁRIAS</t>
  </si>
  <si>
    <t>Resultado Nominal</t>
  </si>
  <si>
    <t>2.1 - Operações de Crédito</t>
  </si>
  <si>
    <t>Receita Total</t>
  </si>
  <si>
    <t>Despesa Total</t>
  </si>
  <si>
    <t>Reservas</t>
  </si>
  <si>
    <t>3.0.00.00.00.00.00</t>
  </si>
  <si>
    <t>3.1.00.00.00.00.00</t>
  </si>
  <si>
    <t>PESSOAL E ENCARGOS SOCIAIS</t>
  </si>
  <si>
    <t>3.2.00.00.00.00.00</t>
  </si>
  <si>
    <t>3.3.00.00.00.00.00</t>
  </si>
  <si>
    <t>OUTRAS DESPESAS CORRENTES</t>
  </si>
  <si>
    <t>4.0.00.00.00.00.00</t>
  </si>
  <si>
    <t>4.4.00.00.00.00.00</t>
  </si>
  <si>
    <t>4.5.00.00.00.00.00</t>
  </si>
  <si>
    <t>4.5.90.66.00.00.00</t>
  </si>
  <si>
    <t>Concessão de Empréstimos e Financiamentos</t>
  </si>
  <si>
    <t>4.6.00.00.00.00.00</t>
  </si>
  <si>
    <t>AMORTIZAÇÃO DA DÍVIDA PÚBLICA</t>
  </si>
  <si>
    <t>Valores em R$ 1,00</t>
  </si>
  <si>
    <t>ESPECIFICAÇÃO</t>
  </si>
  <si>
    <t>Valor</t>
  </si>
  <si>
    <t>% PIB</t>
  </si>
  <si>
    <t>Corrente</t>
  </si>
  <si>
    <t>Constante</t>
  </si>
  <si>
    <t>(a / PIB)</t>
  </si>
  <si>
    <t>(b / PIB)</t>
  </si>
  <si>
    <t>(c / PIB)</t>
  </si>
  <si>
    <t>(a)</t>
  </si>
  <si>
    <t>x 100</t>
  </si>
  <si>
    <t>(b)</t>
  </si>
  <si>
    <t>(c)</t>
  </si>
  <si>
    <t xml:space="preserve">  Receita Total</t>
  </si>
  <si>
    <t xml:space="preserve"> Despesa Total</t>
  </si>
  <si>
    <t xml:space="preserve"> Resultado Primário (I – II)</t>
  </si>
  <si>
    <t xml:space="preserve"> Resultado Nominal</t>
  </si>
  <si>
    <t xml:space="preserve"> Dívida Pública Consolidada </t>
  </si>
  <si>
    <t xml:space="preserve"> Dívida Consolidada Líquida </t>
  </si>
  <si>
    <t xml:space="preserve">Variação </t>
  </si>
  <si>
    <t>%               (c/a) x 100</t>
  </si>
  <si>
    <t>Resultado Primário (I–II)</t>
  </si>
  <si>
    <t xml:space="preserve">Dívida Pública Consolidada </t>
  </si>
  <si>
    <t>Dívida Consolidada Líquida</t>
  </si>
  <si>
    <t>VALORES A PREÇOS CORRENTES</t>
  </si>
  <si>
    <t xml:space="preserve">     Receita Total </t>
  </si>
  <si>
    <t>Despesa Total </t>
  </si>
  <si>
    <t>Resultado Primário (I – II)</t>
  </si>
  <si>
    <t xml:space="preserve">Resultado Nominal  </t>
  </si>
  <si>
    <t>Dívida Pública Consolidada</t>
  </si>
  <si>
    <t>VALORES A PREÇOS CONSTANTES</t>
  </si>
  <si>
    <t>PATRIMÔNIO LÍQUIDO</t>
  </si>
  <si>
    <t>Patrimônio/Capital</t>
  </si>
  <si>
    <t>Resultado Acumulado</t>
  </si>
  <si>
    <t>TOTAL</t>
  </si>
  <si>
    <t>REGIME PREVIDENCIÁRIO</t>
  </si>
  <si>
    <t>RECEITAS REALIZADAS</t>
  </si>
  <si>
    <t xml:space="preserve">        Alienação de Bens Móveis</t>
  </si>
  <si>
    <t xml:space="preserve">        Alienação de Bens Imóveis</t>
  </si>
  <si>
    <t xml:space="preserve">   DESPESAS DE CAPITAL</t>
  </si>
  <si>
    <t xml:space="preserve">         Investimentos</t>
  </si>
  <si>
    <t xml:space="preserve">         Inversões Financeiras</t>
  </si>
  <si>
    <t xml:space="preserve">        Amortização da Dívida</t>
  </si>
  <si>
    <t xml:space="preserve">    DESPESAS CORRENTES DOS REGIMES DE PREVID.</t>
  </si>
  <si>
    <t xml:space="preserve">        Regime Geral de Previdência Social</t>
  </si>
  <si>
    <t xml:space="preserve">        Regime Próprio dos Servidores Públicos  </t>
  </si>
  <si>
    <t xml:space="preserve">SALDO FINANCEIRO </t>
  </si>
  <si>
    <t>EXERCÍCIO</t>
  </si>
  <si>
    <t>RENÚNCIA DE RECEITA PREVISTA</t>
  </si>
  <si>
    <t>COMPENSAÇÃO</t>
  </si>
  <si>
    <t>EVENTO</t>
  </si>
  <si>
    <t xml:space="preserve">Aumento Permanente da Receita  </t>
  </si>
  <si>
    <t>Saldo Final do Aumento Permanente de Receita  (I)</t>
  </si>
  <si>
    <t>Redução Permanente de Despesa (II)</t>
  </si>
  <si>
    <t>Margem Bruta  (III) = (I+II)</t>
  </si>
  <si>
    <t>Saldo Utilizado da Margem Bruta (IV)</t>
  </si>
  <si>
    <t xml:space="preserve">   Impacto de Novas DOCC</t>
  </si>
  <si>
    <t>Margem Líquida de Expansão de DOCC (III-IV)</t>
  </si>
  <si>
    <t>DEMONSTRATIVO DE RISCOS FISCAIS E PROVIDÊNCIAS</t>
  </si>
  <si>
    <t>PROVIDÊNCIAS</t>
  </si>
  <si>
    <t>Descrição</t>
  </si>
  <si>
    <t>I-Metas Previstas em</t>
  </si>
  <si>
    <t>II-Metas Realizadas em</t>
  </si>
  <si>
    <t>Valor (c) = (b-a)</t>
  </si>
  <si>
    <t>Variação %</t>
  </si>
  <si>
    <t>Variação%</t>
  </si>
  <si>
    <t xml:space="preserve">  Receitas Primárias (I)</t>
  </si>
  <si>
    <t>Despesas Primárias (II)</t>
  </si>
  <si>
    <t>Receita Primárias (I)</t>
  </si>
  <si>
    <t>Despesa Primárias (II)</t>
  </si>
  <si>
    <t>DEMONSTRATIVO DE METAS FISCAIS ATUAIS COMPARADAS COM AS FIXADAS  NOS TRÊS EXERCÍCIOS ANTERIORES</t>
  </si>
  <si>
    <t>Receitas Primárias (I)</t>
  </si>
  <si>
    <t>Saldo</t>
  </si>
  <si>
    <t>Reestimativa</t>
  </si>
  <si>
    <t>REESTIMADO</t>
  </si>
  <si>
    <t>JUROS E ENCARGOS DA DÍVIDA</t>
  </si>
  <si>
    <t>RESERVA DE CONTINGÊNCIA</t>
  </si>
  <si>
    <t>INFLAÇÃO MÉDIA ANUAL   (I P C A)</t>
  </si>
  <si>
    <t xml:space="preserve">VARIAÇÃODO PIB </t>
  </si>
  <si>
    <t>CRESCIMENTO VEGETATIVO DA FOLHA SALARIAL</t>
  </si>
  <si>
    <t>CRESCIMENTO AUTÔNOMO DE OUTROS CUSTEIOS</t>
  </si>
  <si>
    <t>ESFORÇO NA ARRECADAÇÃO TRIBUTÁRIA</t>
  </si>
  <si>
    <t xml:space="preserve">   Decorrente de Receitas Tributárias</t>
  </si>
  <si>
    <t xml:space="preserve">   Decorrente de Transferências Correntes</t>
  </si>
  <si>
    <t xml:space="preserve">      Relativas a  Pessoal e Encargos Sociais</t>
  </si>
  <si>
    <t xml:space="preserve">      Relativas a  Outras Despesas Correntes</t>
  </si>
  <si>
    <t>da Prefeitura Municipal</t>
  </si>
  <si>
    <t>Rendimento de Aplicações Financeira de Alienaç de Bens</t>
  </si>
  <si>
    <t xml:space="preserve">CRESCIMENTO DOS INVESTIMENTOS </t>
  </si>
  <si>
    <t>cando-se, sobre eles, as projeções de inflação para os referidos exercícios a saber:</t>
  </si>
  <si>
    <t>Exercício</t>
  </si>
  <si>
    <t>(-)  Transferências ao FUNDEB</t>
  </si>
  <si>
    <t>RESERVA DE CONTINGÊNCIA DO RPPS</t>
  </si>
  <si>
    <t xml:space="preserve">  Receita Total RPPS</t>
  </si>
  <si>
    <t xml:space="preserve">  Receitas Primárias RPPS (I)</t>
  </si>
  <si>
    <t xml:space="preserve"> Despesa Total RPPS</t>
  </si>
  <si>
    <t>Despesas Primárias RPPS (II)</t>
  </si>
  <si>
    <t xml:space="preserve"> Resultado Primário  RPPS (I – II)</t>
  </si>
  <si>
    <t xml:space="preserve">Operações de Crédito / Pagamentos </t>
  </si>
  <si>
    <t>ANEXO DE  METAS FISCAIS</t>
  </si>
  <si>
    <t>TABELA  01 - Parâmentos Utilizados nas Estimativas das Receitas e Despesas</t>
  </si>
  <si>
    <t>TRIBUTO</t>
  </si>
  <si>
    <t>MODALIDADE</t>
  </si>
  <si>
    <t>SETORES/ PROGRAMAS/ BENEFICIÁRIO</t>
  </si>
  <si>
    <t xml:space="preserve">          -</t>
  </si>
  <si>
    <t>Vide Obsevação</t>
  </si>
  <si>
    <t>abaixo</t>
  </si>
  <si>
    <t>DESPESAS  EXECUTADAS</t>
  </si>
  <si>
    <t>ANEXO DE RISCOS FISCAIS</t>
  </si>
  <si>
    <t>PASSIVOS CONTINGENTES</t>
  </si>
  <si>
    <t>Demandas Judiciais</t>
  </si>
  <si>
    <t>Dívidas em Processo de Reconhecimento</t>
  </si>
  <si>
    <t>Avais e Garantias Concedidas</t>
  </si>
  <si>
    <t>Assunção de Passivos</t>
  </si>
  <si>
    <t>Assistências Diversas</t>
  </si>
  <si>
    <t>Outros Passivos Contingentes</t>
  </si>
  <si>
    <t>SUBTOTAL</t>
  </si>
  <si>
    <t>DEMAIS RISCOS FISCAIS PASSIVOS</t>
  </si>
  <si>
    <t>Frustração de Arrecadação</t>
  </si>
  <si>
    <t>Restituição de Tributos a Maior</t>
  </si>
  <si>
    <t>Discrepância de Projeções:</t>
  </si>
  <si>
    <t>Outros Riscos Fiscais</t>
  </si>
  <si>
    <t>RESULTADO PREVIDENCIÁRIO (VII) = (III – VI)</t>
  </si>
  <si>
    <t>RESERVA ORÇAMENTÁRIA DO RPPS</t>
  </si>
  <si>
    <t>BENS E DIREITOS DO RPPS</t>
  </si>
  <si>
    <t>CONSOLIDAÇÃO GERAL</t>
  </si>
  <si>
    <t xml:space="preserve">   Novas DOCC</t>
  </si>
  <si>
    <t xml:space="preserve">   Novas DOCC geradas por PPP</t>
  </si>
  <si>
    <t>Margem Líquida de Expansão de DOCC (V) = (III-IV)</t>
  </si>
  <si>
    <t>(-) Transferências Constitucionais</t>
  </si>
  <si>
    <t>9.9.99.99.99.99.01</t>
  </si>
  <si>
    <t>9.9.99.99.99.99.02</t>
  </si>
  <si>
    <t>ANEXO  III -  METAS E PRIORIDADES</t>
  </si>
  <si>
    <t>TIPO (*)</t>
  </si>
  <si>
    <t>Ação</t>
  </si>
  <si>
    <t>Unidade de Medida</t>
  </si>
  <si>
    <t>Produto</t>
  </si>
  <si>
    <t>Meta Física</t>
  </si>
  <si>
    <r>
      <t>TOTAL DO PROGRAMA   =======================================</t>
    </r>
    <r>
      <rPr>
        <b/>
        <sz val="9"/>
        <rFont val="Wingdings"/>
        <charset val="2"/>
      </rPr>
      <t>è</t>
    </r>
  </si>
  <si>
    <t xml:space="preserve">(*)  Tipo:  P – Projeto       A - Atividade </t>
  </si>
  <si>
    <t xml:space="preserve">OE – Operação Especial      NO – Não-orçamentária            </t>
  </si>
  <si>
    <t>ANEXO IV</t>
  </si>
  <si>
    <t xml:space="preserve">RELATÓRIO SOBRE PROJETOS EM EXECUÇÃO E A EXECUTAR   E DESPESAS COM CONSERVAÇÃO DO PATRIMÔNIO PÚBLICO </t>
  </si>
  <si>
    <t>(Art. 45 da LRF)</t>
  </si>
  <si>
    <t>EXECUÇÃO %</t>
  </si>
  <si>
    <t>IDENTIFICAÇÃO DAS AÇÕES</t>
  </si>
  <si>
    <t>INÍCIO DA EXECUÇÃO</t>
  </si>
  <si>
    <t>VALOR DO PROJETO</t>
  </si>
  <si>
    <t>PROJETOS EM EXECUÇÃO</t>
  </si>
  <si>
    <t>NOVOS PROJETOS</t>
  </si>
  <si>
    <t>Total dos Recursos a Priorizar</t>
  </si>
  <si>
    <t xml:space="preserve">Pessoal  do  R P P S </t>
  </si>
  <si>
    <t xml:space="preserve">Juros e encargos da Dívida RPPS </t>
  </si>
  <si>
    <t>CONSERVAÇÃO DO PATRIMÔNIO</t>
  </si>
  <si>
    <t>Receitas Primárias Advindas de PPP (IV)</t>
  </si>
  <si>
    <t>Despesas Primárias Geradas por PPP (V)</t>
  </si>
  <si>
    <t>Impacto do Saldo das PPP (VI) = (IV) - (V)</t>
  </si>
  <si>
    <t>Taxa de Juros Selic (Média do Ano)</t>
  </si>
  <si>
    <t>ARRECADADA</t>
  </si>
  <si>
    <t>1.0.0.0.00.0.0.00.00.00</t>
  </si>
  <si>
    <t>Receitas Correntes</t>
  </si>
  <si>
    <t>1.1.0.0.00.0.0.00.00.00</t>
  </si>
  <si>
    <t>Impostos, Taxas e Contribuições de Melhoria</t>
  </si>
  <si>
    <t>1.1.1.0.00.0.0.00.00.00</t>
  </si>
  <si>
    <t>1.1.2.0.00.0.0.00.00.00</t>
  </si>
  <si>
    <t>Taxas</t>
  </si>
  <si>
    <t>1.1.3.0.00.0.0.00.00.00</t>
  </si>
  <si>
    <t>Contribuição de Melhoria</t>
  </si>
  <si>
    <t>1.2.0.0.00.0.0.00.00.00</t>
  </si>
  <si>
    <t>Contribuições</t>
  </si>
  <si>
    <t>1.2.1.0.00.0.0.00.00.00</t>
  </si>
  <si>
    <t>Contribuições Sociais</t>
  </si>
  <si>
    <t>1.2.1.0.04.0.0.00.00.00</t>
  </si>
  <si>
    <t>1.2.1.0.06.0.0.00.00.00</t>
  </si>
  <si>
    <t>Contribuição para os Fundos de Assistência Médica</t>
  </si>
  <si>
    <t>1.2.1.0.99.0.0.00.00.00</t>
  </si>
  <si>
    <t>Outras Contribuições Sociais</t>
  </si>
  <si>
    <t>1.2.1.8.00.0.0.00.00.00</t>
  </si>
  <si>
    <t>Contribuições Sociais específicas de Estados, DF, Municípios</t>
  </si>
  <si>
    <t>1.2.2.0.00.0.0.00.00.00</t>
  </si>
  <si>
    <t>Contribuições Econômicas</t>
  </si>
  <si>
    <t>1.2.4.0.00.0.0.00.00.00</t>
  </si>
  <si>
    <t>Contribuição para o Custeio do Serviço de Iluminação Pública</t>
  </si>
  <si>
    <t>1.3.0.0.00.0.0.00.00.00</t>
  </si>
  <si>
    <t>Receita Patrimonial</t>
  </si>
  <si>
    <t>1.3.1.0.00.0.0.00.00.00</t>
  </si>
  <si>
    <t>Exploração do Patrimônio Imobiliário do Estado</t>
  </si>
  <si>
    <t>1.3.2.0.00.0.0.00.00.00</t>
  </si>
  <si>
    <t>Valores Mobiliários</t>
  </si>
  <si>
    <t>1.3.2.1.00.1.1.01.00.00</t>
  </si>
  <si>
    <t>Remuneração de Depósitos de Recursos Vinculados - Principal</t>
  </si>
  <si>
    <t>1.3.2.1.00.1.1.02.00.00</t>
  </si>
  <si>
    <t>Remuneração de Depósitos de Recursos Não Vinculados - Principal</t>
  </si>
  <si>
    <t>1.3.2.1.00.4.0.00.00.00</t>
  </si>
  <si>
    <t>Remuneração dos Recursos do Regime Próprio de Previdência Social - RPPS</t>
  </si>
  <si>
    <t>1.3.2.1.00.5.0.00.00.00</t>
  </si>
  <si>
    <t>Juros de Títulos de Renda</t>
  </si>
  <si>
    <t>1.3.2.9.00.0.0.00.00.00</t>
  </si>
  <si>
    <t>Outros Valores Mobiliários</t>
  </si>
  <si>
    <t>1.3.3.0.00.0.0.00.00.00</t>
  </si>
  <si>
    <t>Delegação de Serviços Públicos Mediante Concessão, Permissão, Autorização ou Licença</t>
  </si>
  <si>
    <t>1.3.6.0.00.0.0.00.00.00</t>
  </si>
  <si>
    <t>Cessão de Direitos</t>
  </si>
  <si>
    <t>1.3.9.0.00.0.0.00.00.00</t>
  </si>
  <si>
    <t>Demais Receitas Patrimoniais</t>
  </si>
  <si>
    <t>1.4.0.0.00.0.0.00.00.00</t>
  </si>
  <si>
    <t>Receita Agropecuária</t>
  </si>
  <si>
    <t>Receita de Serviços</t>
  </si>
  <si>
    <t>1.7.0.0.00.0.0.00.00.00</t>
  </si>
  <si>
    <t>Transferências Correntes</t>
  </si>
  <si>
    <t>1.7.1.0.00.0.0.00.00.00</t>
  </si>
  <si>
    <t>Transferências da União e de suas Entidades</t>
  </si>
  <si>
    <t>1.7.1.8.01.2.0.00.00.00</t>
  </si>
  <si>
    <t>Cota-Parte do Fundo de Participação dos Municípios - Cota Mensal</t>
  </si>
  <si>
    <t>1.7.1.8.01.3.0.00.00.00</t>
  </si>
  <si>
    <t>Cota-Parte do Fundo de Participação do Municípios – 1% Cota entregue no mês de dezembro</t>
  </si>
  <si>
    <t>1.7.1.8.01.4.0.00.00.00</t>
  </si>
  <si>
    <t>Cota-Parte do Fundo de Participação dos Municípios - 1% Cota entregue no mês de julho</t>
  </si>
  <si>
    <t>1.7.1.8.01.5.0.00.00.00</t>
  </si>
  <si>
    <t>Cota-Parte do Imposto Sobre a Propriedade Territorial Rural</t>
  </si>
  <si>
    <t>1.7.1.8.02.0.0.00.00.00</t>
  </si>
  <si>
    <t>Transferência da Compensação Financeira pela Exploração de Recursos Naturais</t>
  </si>
  <si>
    <t>1.7.1.8.03.0.0.00.00.00</t>
  </si>
  <si>
    <t>Transferência de Recursos do Sistema Único de Saúde – SUS – Repasses Fundo a Fundo</t>
  </si>
  <si>
    <t>1.7.1.8.04.0.0.00.00.00</t>
  </si>
  <si>
    <t>Transferências de Recursos do Fundo Nacional de Assistência Social – FNAS</t>
  </si>
  <si>
    <t>1.7.1.8.05.0.0.00.00.00</t>
  </si>
  <si>
    <t>Transferências de Recursos do Fundo Nacional do Desenvolvimento da Educação – FNDE</t>
  </si>
  <si>
    <t>1.7.1.8.06.0.0.00.00.00</t>
  </si>
  <si>
    <t>Transferência Financeira do ICMS – Desoneração – L.C. Nº 87/96</t>
  </si>
  <si>
    <t>1.7.1.8.10.0.0.00.00.00</t>
  </si>
  <si>
    <t>Transferências de Convênios da União e de Suas Entidades</t>
  </si>
  <si>
    <t>1.7.2.0.00.0.0.00.00.00</t>
  </si>
  <si>
    <t>Transferências dos Estados e do Distrito Federal e de suas Entidades</t>
  </si>
  <si>
    <t>1.7.2.8.01.1.0.00.00.00</t>
  </si>
  <si>
    <t>Cota-Parte do ICMS</t>
  </si>
  <si>
    <t>1.5.0.0.00.0.0.00.00.00</t>
  </si>
  <si>
    <t>Receita Industrial</t>
  </si>
  <si>
    <t>1.7.2.8.01.2.0.00.00.00</t>
  </si>
  <si>
    <t>Cota-Parte do IPVA</t>
  </si>
  <si>
    <t>1.7.2.8.01.3.0.00.00.00</t>
  </si>
  <si>
    <t>Cota-Parte do IPI - Municípios</t>
  </si>
  <si>
    <t>1.7.2.8.01.4.0.00.00.00</t>
  </si>
  <si>
    <t>Cota-Parte da Contribuição de Intervenção no Domínio Econômico</t>
  </si>
  <si>
    <t>1.7.2.8.01.5.0.00.00.00</t>
  </si>
  <si>
    <t>Outras Participações na Receita dos Estados</t>
  </si>
  <si>
    <t>1.7.2.8.01.9.0.00.00.00</t>
  </si>
  <si>
    <t>Outras Transferências dos Estados</t>
  </si>
  <si>
    <t>1.7.2.8.03.0.0.00.00.00</t>
  </si>
  <si>
    <t>Transferência de Recursos do Estado para Programas de Saúde – Repasse Fundo a Fundo</t>
  </si>
  <si>
    <t>1.7.2.8.10.0.0.00.00.00</t>
  </si>
  <si>
    <t>Transferência de Convênios dos Estados e do Distrito Federal e de Suas Entidades</t>
  </si>
  <si>
    <t>1.7.2.8.99.0.0.00.00.00</t>
  </si>
  <si>
    <t>1.7.3.0.00.0.0.00.00.00</t>
  </si>
  <si>
    <t>Transferências dos Municípios e de suas Entidades</t>
  </si>
  <si>
    <t>1.7.4.0.00.0.0.00.00.00</t>
  </si>
  <si>
    <t>Transferências de Instituições Privadas</t>
  </si>
  <si>
    <t>Transferências de Outras Instituições Públicas</t>
  </si>
  <si>
    <t>1.7.6.0.00.0.0.00.00.00</t>
  </si>
  <si>
    <t>Transferências do Exterior</t>
  </si>
  <si>
    <t>1.7.7.0.00.0.0.00.00.00</t>
  </si>
  <si>
    <t>Transferências de Pessoas Físicas</t>
  </si>
  <si>
    <t>1.9.0.0.00.0.0.00.00.00</t>
  </si>
  <si>
    <t>Outras Receitas Correntes</t>
  </si>
  <si>
    <t>1.9.1.0.00.0.0.00.00.00</t>
  </si>
  <si>
    <t>Multas Administrativas, Contratuais e Judiciais</t>
  </si>
  <si>
    <t>1.9.2.0.00.0.0.00.00.00</t>
  </si>
  <si>
    <t>Indenizações, Restituições e Ressarcimentos</t>
  </si>
  <si>
    <t>1.9.9.0.00.0.0.00.00.00</t>
  </si>
  <si>
    <t>Demais Receitas Correntes</t>
  </si>
  <si>
    <t>1.9.9.0.03.0.0.00.00.00</t>
  </si>
  <si>
    <t>Compensações Financeiras entre o Regime Geral e os Regimes Próprios de Previdência dos Servidores</t>
  </si>
  <si>
    <t>1.9.9.0.06.0.0.00.00.00</t>
  </si>
  <si>
    <t>Contrapartida de Subvenções ou Subsídios</t>
  </si>
  <si>
    <t>1.9.9.0.12.0.0.00.00.00</t>
  </si>
  <si>
    <t>Encargos Legais pela Inscrição em Dívida Ativa e Receitas de Ônus de Sucumbência</t>
  </si>
  <si>
    <t>1.9.9.0.99.0.0.00.00.00</t>
  </si>
  <si>
    <t>2.0.0.0.00.0.0.00.00.00</t>
  </si>
  <si>
    <t>Receitas de Capital</t>
  </si>
  <si>
    <t>2.1.0.0.00.0.0.00.00.00</t>
  </si>
  <si>
    <t>Operações de Crédito</t>
  </si>
  <si>
    <t>2.2.0.0.00.0.0.00.00.00</t>
  </si>
  <si>
    <t>Alienação de Bens</t>
  </si>
  <si>
    <t>2.2.1.0.00.0.0.00.00.00</t>
  </si>
  <si>
    <t>Alienação de Bens Móveis</t>
  </si>
  <si>
    <t>2.2.2.0.00.0.0.00.00.00</t>
  </si>
  <si>
    <t>Alienação de Bens Imóveis</t>
  </si>
  <si>
    <t>2.3.0.0.00.0.0.00.00.00</t>
  </si>
  <si>
    <t>Amortização de Empréstimos</t>
  </si>
  <si>
    <t>2.4.0.0.00.0.0.00.00.00</t>
  </si>
  <si>
    <t>Transferências de Capital</t>
  </si>
  <si>
    <t>2.4.1.0.00.0.0.00.00.00</t>
  </si>
  <si>
    <t>2.4.2.0.00.0.0.00.00.00</t>
  </si>
  <si>
    <t>2.4.3.0.00.0.0.00.00.00</t>
  </si>
  <si>
    <t>2.4.4.0.00.0.0.00.00.00</t>
  </si>
  <si>
    <t>2.4.5.0.00.0.0.00.00.00</t>
  </si>
  <si>
    <t>2.4.6.0.00.0.0.00.00.00</t>
  </si>
  <si>
    <t>2.4.7.0.00.0.0.00.00.00</t>
  </si>
  <si>
    <t>2.9.0.0.00.0.0.00.00.00</t>
  </si>
  <si>
    <t>Outras Receitas de Capital</t>
  </si>
  <si>
    <t>2.9.9.0.00.1.1.01.00.00</t>
  </si>
  <si>
    <t>Outras Receitas Diretamente Arrecadadas pelo RPPS - Principal</t>
  </si>
  <si>
    <t>2.9.9.0.00.1.1.02.00.00</t>
  </si>
  <si>
    <t>Remuneracao de Depósitos Bancários - Principal</t>
  </si>
  <si>
    <t>7.0.0.0.00.0.0.00.00.00</t>
  </si>
  <si>
    <t>8.0.0.0.00.0.0.00.00.00</t>
  </si>
  <si>
    <t>Receitas de Capital Intraorçamentárias</t>
  </si>
  <si>
    <t>9.0.0.0.0.00.0.0.00.00</t>
  </si>
  <si>
    <t>9.1.1.0.0.00.0.0.00.00</t>
  </si>
  <si>
    <t>9.1.7.0.0.00.0.0.00.00</t>
  </si>
  <si>
    <t>Deduções para o FUNDEB</t>
  </si>
  <si>
    <t>9.1.0.0.0.00.0.0.00.00</t>
  </si>
  <si>
    <t>9.2.0.0.0.00.0.0.00.00</t>
  </si>
  <si>
    <t>Pessoal  - Legislativo</t>
  </si>
  <si>
    <t>Juros e Encargos da Dívida - Executiv / Indiretas</t>
  </si>
  <si>
    <t>Juros e Encargos da Dívida - Legislativo</t>
  </si>
  <si>
    <t>Outras Despesas Correntes - Executivo</t>
  </si>
  <si>
    <t>Outras Despesas Correntes - Legislativo</t>
  </si>
  <si>
    <t>Outras Despesas Correntes  RPPS</t>
  </si>
  <si>
    <t>Investimentos - Executvi / Indiretas</t>
  </si>
  <si>
    <t>Investimentos - Legislativo</t>
  </si>
  <si>
    <t xml:space="preserve">4.5.90.99.00.00.00 </t>
  </si>
  <si>
    <t>Outras Inversões Financeiras - Executvi / Indiretas</t>
  </si>
  <si>
    <t>Outras Inversões Financeiras - Legislativo</t>
  </si>
  <si>
    <t>Amortização da Dívida  - Executivo / Indiretas</t>
  </si>
  <si>
    <t>Amortização da Dívida  - Legislativo</t>
  </si>
  <si>
    <t>Amortização da Dívida  - RPPS</t>
  </si>
  <si>
    <t>CRESC.REAL DAS TRANSFER CORR DA UNIÃO</t>
  </si>
  <si>
    <t>CRESC.REAL DAS TRANSFER CORR DO ESTADO</t>
  </si>
  <si>
    <t>PERCENTUAL DE AUMENTO SALARIAL - EXECUTVO</t>
  </si>
  <si>
    <t>PERCENTUAL DE AUMENTO SALARIAL - LEGISLATIVO</t>
  </si>
  <si>
    <t>Contribuição para o Regime Próprio de Previdência Social - RPPS (dos servidores)</t>
  </si>
  <si>
    <t>Receitas Correntes Intraorçamentárias - RPPS</t>
  </si>
  <si>
    <t>Valor Corrente (a)</t>
  </si>
  <si>
    <t>% RCL</t>
  </si>
  <si>
    <t>(a /RCL)</t>
  </si>
  <si>
    <t>II - DEDUÇÕES</t>
  </si>
  <si>
    <t xml:space="preserve">    I R R F s/Rendimentos do Trabalho</t>
  </si>
  <si>
    <t>Contribuições Previdenciárias do Regime Próprio</t>
  </si>
  <si>
    <t>Compensação Financeira entre Regimes</t>
  </si>
  <si>
    <t>III - (+) Ajuste Perdas com o Fundeb</t>
  </si>
  <si>
    <t>IV - RECEITA CORRENTE LÍQUIDA (I-II+III)</t>
  </si>
  <si>
    <t>Estimativas para a Receita Corrente Líquida</t>
  </si>
  <si>
    <t>I - RECEITAS CORRENTES (Exceto Intraorçamentárias)</t>
  </si>
  <si>
    <t>1.1.1.3.03.1.1.01.00.00</t>
  </si>
  <si>
    <t>1.1.1.3.03.1.1.02.00.00</t>
  </si>
  <si>
    <t xml:space="preserve"> Demais Impostos</t>
  </si>
  <si>
    <t>IRRF s/Rend.Trabalho - Principal - Ativos/Inativos do Poder Executivo/Indiretas</t>
  </si>
  <si>
    <t>IRRF s/Rend.Trabalho - Principal - Ativos/Inativos do Poder Legislativo</t>
  </si>
  <si>
    <t xml:space="preserve">Deduções da Receita Corrente </t>
  </si>
  <si>
    <t>1.7.5.8.01.1.1.00.00.00</t>
  </si>
  <si>
    <t>Transferências de Recursos do FUNDEB - Principal</t>
  </si>
  <si>
    <t>Rendimentos de Aplicações de Rec.Previdenciários</t>
  </si>
  <si>
    <t>(B /RCL)</t>
  </si>
  <si>
    <t>(b /RCL)</t>
  </si>
  <si>
    <t>Inflação para 2020:</t>
  </si>
  <si>
    <t>AMF - Demonstrativo 6 (LRF, art. 4º, § 2º, inciso IV, alínea "a")</t>
  </si>
  <si>
    <t>RECEITAS E DESPESAS PREVIDENCIÁRIOS DO REGIME PRÓPRIO DE PREVIDÊNCIA DOS SERVIDORES</t>
  </si>
  <si>
    <t>PLANO PREVIDENCIÁRIO</t>
  </si>
  <si>
    <t>RECEITAS PREVIDENCIÁRIAS - RPPS</t>
  </si>
  <si>
    <t>RECEITAS CORRENTES (I)</t>
  </si>
  <si>
    <t xml:space="preserve">Receita de Contribuições dos Segurados </t>
  </si>
  <si>
    <t>Civil</t>
  </si>
  <si>
    <t xml:space="preserve">Ativo </t>
  </si>
  <si>
    <t xml:space="preserve">Inativo </t>
  </si>
  <si>
    <t xml:space="preserve">Pensionista </t>
  </si>
  <si>
    <t>Militar</t>
  </si>
  <si>
    <t xml:space="preserve">    Receita de Contribuições Patronais </t>
  </si>
  <si>
    <t>Em Regime de Parcelamento de Débitos</t>
  </si>
  <si>
    <t>Receitas Imobiliárias</t>
  </si>
  <si>
    <t>Receitas de Valores Mobiliários</t>
  </si>
  <si>
    <t>Outras Receitas Patrimoniais</t>
  </si>
  <si>
    <t>Receita de Aporte Periódico de Valores Predefinidos</t>
  </si>
  <si>
    <t>Compensação Previdenciária do RGPS para o RPPS</t>
  </si>
  <si>
    <t>RECEITAS DE CAPITAL (II)</t>
  </si>
  <si>
    <t>Alienação de Bens, Direitos e Ativos</t>
  </si>
  <si>
    <t>TOTAL DAS RECEITAS PREVIDENCIÁRIAS RPPS - (III) = (I + II)</t>
  </si>
  <si>
    <t>DESPESAS PREVIDENCIÁRIAS - RPPS</t>
  </si>
  <si>
    <t>ADMINISTRAÇÃO (IV)</t>
  </si>
  <si>
    <t>Despesas Correntes</t>
  </si>
  <si>
    <t>Despesas de Capital</t>
  </si>
  <si>
    <t>PREVIDÊNCIA (V)</t>
  </si>
  <si>
    <t>Benefícios - Civil</t>
  </si>
  <si>
    <t>Aposentadorias</t>
  </si>
  <si>
    <t>Pensões</t>
  </si>
  <si>
    <t>Outros Benefícios Previdenciários</t>
  </si>
  <si>
    <t>Benefícios - Militar</t>
  </si>
  <si>
    <t>Reformas</t>
  </si>
  <si>
    <t>Outras Despesas Previdenciárias</t>
  </si>
  <si>
    <t>Compensação Previdenciária do RPPS para o RGPS</t>
  </si>
  <si>
    <t>Demais Despesas Previdenciárias</t>
  </si>
  <si>
    <t>TOTAL DAS DESPESAS PREVIDENCIÁRIAS RPPS (VI) = (IV + V)</t>
  </si>
  <si>
    <t>RECURSOS RPPS ARRECADADOS EM EXERCÍCIOS ANTERIORES</t>
  </si>
  <si>
    <t>VALOR</t>
  </si>
  <si>
    <t>APORTES DE RECURSOS PARA O PLANO PREVIDENCIÁRIO DO RPPS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</si>
  <si>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</si>
  <si>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</si>
  <si>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</si>
  <si>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</si>
  <si>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Caixa e Equivalentes de Caixa</t>
  </si>
  <si>
    <t>Investimentos e Aplicações</t>
  </si>
  <si>
    <t>Outro Bens e Direitos</t>
  </si>
  <si>
    <t>PLANO FINANCEIRO</t>
  </si>
  <si>
    <t>RECEITAS CORRENTES (VIII)</t>
  </si>
  <si>
    <t>Receita de Contribuições dos Segurados</t>
  </si>
  <si>
    <t>Receita de Contribuições Patronais</t>
  </si>
  <si>
    <t>RECEITAS DE CAPITAL (IX)</t>
  </si>
  <si>
    <t>TOTAL DAS RECEITAS PREVIDENCIÁRIAS RPPS - (X) = (VIII + IX)</t>
  </si>
  <si>
    <t>ADMINISTRAÇÃO (XI)</t>
  </si>
  <si>
    <t>PREVIDÊNCIA (XII)</t>
  </si>
  <si>
    <t xml:space="preserve">Aposentadorias </t>
  </si>
  <si>
    <t>TOTAL DAS DESPESAS PREVIDENCIÁRIAS RPPS (XIII) = (XI + XII)</t>
  </si>
  <si>
    <t>RESULTADO PREVIDENCIÁRIO (XIV) = (X – XIII)</t>
  </si>
  <si>
    <t>APORTES DE RECURSOS PARA O PLANO FINANCEIRO DO RRPS</t>
  </si>
  <si>
    <t>Recursos para Cobertura de Insuficiências Financeiras</t>
  </si>
  <si>
    <t>Recursos para Formação de Reserva</t>
  </si>
  <si>
    <t>PROJEÇÃO ATUARIAL DO REGIME PRÓPRIO DE PREVIDÊNCIA DOS SERVIDORES</t>
  </si>
  <si>
    <t>AVALIAÇÃO DA SITUAÇÃO FINANCEIRA E ATUARIAL DO RPPS</t>
  </si>
  <si>
    <t>Estimativa de Limites de Gastos com Pessoal do Poder Executivo e Legislativo para o período de 2018 a 2021</t>
  </si>
  <si>
    <t>Limite Máximo Legal   -  54 % da  RCL (alínea “b” do inciso III do artigo 20 da LRF)</t>
  </si>
  <si>
    <t>Limite Prudencial - 51,30 % da RCL (parágrafo único do artigo 22 daLRF)</t>
  </si>
  <si>
    <t>Limite de Alerta - 48,60 % da RCL (inciso II do § 1º do artigo 59 da LRF)</t>
  </si>
  <si>
    <t>PODER EXECUTIVO</t>
  </si>
  <si>
    <t xml:space="preserve">PODER LEGISLATIVO </t>
  </si>
  <si>
    <t>Limite Máximo Legal   -  6 % da  RCL (alínea “b” do inciso III do artigo 20 da LRF)</t>
  </si>
  <si>
    <t>Limite Prudencial - 5,70 % da RCL (parágrafo único do artigo 22 daLRF)</t>
  </si>
  <si>
    <t>Limite de Alerta -  5,40 % da RCL (inciso II do § 1º do artigo 59 da LRF)</t>
  </si>
  <si>
    <t>2.2 Encargos - Exceto RPPS</t>
  </si>
  <si>
    <t>2.3 Amortizações - Exceto RPPS</t>
  </si>
  <si>
    <t>Memória de Cálculo das Estimativas das Receitas</t>
  </si>
  <si>
    <t>ANEXO DE METAS FISCAIS</t>
  </si>
  <si>
    <t>METAS ANUAIS - CONSOLIDADO</t>
  </si>
  <si>
    <t>METAS ANUAIS - RPPS</t>
  </si>
  <si>
    <t xml:space="preserve">AVALIAÇÃO DO CUMPRIMENTO DAS METAS FISCAIS   DO EXERCÍCIO ANTERIOR                            </t>
  </si>
  <si>
    <t>EVOLUÇÃO DO PATRIMÔNIO LÍQUIDO</t>
  </si>
  <si>
    <t>ORIGEM E APLICAÇÃO DOS RECURSOS OBTIDOS COM A ALIENAÇÃO DE ATIVOS</t>
  </si>
  <si>
    <t>ESTIMATIVA E COMPENSAÇÃO DA RENÚNCIA DE RECEITA</t>
  </si>
  <si>
    <t xml:space="preserve">MARGEM DE EXPANSÃO DAS DESPESAS OBRIGATÓRIAS DE CARÁTER CONTINUADO  </t>
  </si>
  <si>
    <t>AMF - Demonstrativo 8 (LRF, art. 4°, § 2°, inciso V)</t>
  </si>
  <si>
    <t>AMF - Demonstrativo 7 (LRF, art. 4°, § 2°, inciso V)</t>
  </si>
  <si>
    <t>AMF - Demonstrativo 5 (LRF, art.4º, §2º, inciso III)</t>
  </si>
  <si>
    <t>AMF - Demonstrativo 4 (LRF, art.4º, §2º, inciso III)</t>
  </si>
  <si>
    <t>AMF – Demonstrativo 3 (LRF, art.4º, §2º, inciso II)</t>
  </si>
  <si>
    <t>AMF - Demonstrativo 2 (LRF, art. 4º, §2º, inciso I)</t>
  </si>
  <si>
    <t>AMF - Demonstrativo 1 (LRF, art. 4º, § 1º)</t>
  </si>
  <si>
    <t xml:space="preserve">Valor Constante </t>
  </si>
  <si>
    <t>Valor Corrente (b)</t>
  </si>
  <si>
    <t>Valor Constante</t>
  </si>
  <si>
    <t>Valor Corrente (c)</t>
  </si>
  <si>
    <t>LEI DE DIRETRIZES ORÇAMENTÁRIAS  PARA 2019</t>
  </si>
  <si>
    <t>Indicador</t>
  </si>
  <si>
    <t>PAGA</t>
  </si>
  <si>
    <t>PAGA(Estim)</t>
  </si>
  <si>
    <t>Memória de Cálculo das Estimativas de Pagamento das Despesas - Inclusive Restos a Pagar</t>
  </si>
  <si>
    <t>TOTAL DAS DESPESAS PAGAS</t>
  </si>
  <si>
    <t>TOTAL DAS RECEITAS ARRECADADAS</t>
  </si>
  <si>
    <t>LEI DE DIRETRIZES ORÇAMENTÁRIAS PARA 2019</t>
  </si>
  <si>
    <t>TABELA 02 - Demonstrativo da  Memória de Cálculo do Resultado Primário e Nominal  -  ACIMA DA LINHA</t>
  </si>
  <si>
    <t>RECEITAS PRIMÁRIAS</t>
  </si>
  <si>
    <t>Arrecadação</t>
  </si>
  <si>
    <t>Projeção</t>
  </si>
  <si>
    <t>(-)  Aplicações Financeiras em Geral</t>
  </si>
  <si>
    <t>(-) Aplicações Financeiras do RPPS</t>
  </si>
  <si>
    <t>(-) Outras Receitas Financeiras</t>
  </si>
  <si>
    <t>(-)  Operações de Crédito</t>
  </si>
  <si>
    <t>(-) Amortização de Empréstimos</t>
  </si>
  <si>
    <t>(-) Alienação de Investimentos Temporários e Permanentes</t>
  </si>
  <si>
    <t>(-) Outras Receitas de Capital -  Não Primárias</t>
  </si>
  <si>
    <t>1.6.0.0.00.0.0.00.00</t>
  </si>
  <si>
    <t>Demais Serviços</t>
  </si>
  <si>
    <t>1.6.4.0.01.1.0.00.00 + 1.6.4.0.03.1.0.00.00</t>
  </si>
  <si>
    <t>Retorno de Operações -  Juros e Encargos Financeiros / Rem. s/Repasse para Programas de Desenv.Econômico</t>
  </si>
  <si>
    <t>1.9.2.2.01.2.0.00.00</t>
  </si>
  <si>
    <t>Restituição de Convênios -  Financeiras</t>
  </si>
  <si>
    <t>1.9.2.0.00.0.0.00.00</t>
  </si>
  <si>
    <t>Outras Indenizações, Restituições e Ressarcimentos</t>
  </si>
  <si>
    <t>1.9.9.0.1.1.1.0.00.00.00</t>
  </si>
  <si>
    <t>Variação Cambial</t>
  </si>
  <si>
    <t>1.9.9.0.99.2.0.00.00.00</t>
  </si>
  <si>
    <t>Outras Receitas Financeiras</t>
  </si>
  <si>
    <t>Outras Receitas (demais receitas diversas)</t>
  </si>
  <si>
    <t>Taxa de Câmbio</t>
  </si>
  <si>
    <t xml:space="preserve">2.2.1.8.01.1.0.00.00.00 </t>
  </si>
  <si>
    <t>Alienação de Investimentos Temporários</t>
  </si>
  <si>
    <t>2.2.1.8.01.2.0.00.00.00</t>
  </si>
  <si>
    <t>Alienação de Investimenros Permanentes</t>
  </si>
  <si>
    <t>DESPESAS PRIMÁRIAS</t>
  </si>
  <si>
    <t>(-)  Juros e Encargos da Dívida</t>
  </si>
  <si>
    <t>(-)  Concessão e Empréstimos e Financiamentos</t>
  </si>
  <si>
    <t>(-) Aquisiç. De Títulos de Capital Já Integarlizado</t>
  </si>
  <si>
    <t>(-) Aquisição de Títulos de Crédito</t>
  </si>
  <si>
    <t>(-) Amortização da Dívida</t>
  </si>
  <si>
    <t>(=) Receitas Primárias Correntes  (I)</t>
  </si>
  <si>
    <t>(=) Receitas Primárias de Capital (II)</t>
  </si>
  <si>
    <t>RECEITAS PRIMÁRIAS TOTAIS (III = I + II)</t>
  </si>
  <si>
    <t>(=) Despesas Primárias Correntes (IV)</t>
  </si>
  <si>
    <t>(=) Despesas Primárias de Capital (V)</t>
  </si>
  <si>
    <t>DESPESAS PRIMÁRIAS TOTAIS (VI = IV + V)</t>
  </si>
  <si>
    <t>Pagamento</t>
  </si>
  <si>
    <t>Pagto Estimado</t>
  </si>
  <si>
    <t>RESULTADO PRIMÁRIO   -  ACIMA DA LINHA (VII = III - VI)</t>
  </si>
  <si>
    <t>JUROS E ENCARGOS ATIVOS (Variações Patrimoniais Aumentativas)</t>
  </si>
  <si>
    <t>4.4.1.1.1.00.00 - Juros e Encargos de Empréstimos Internos Concedidos – Consolidação</t>
  </si>
  <si>
    <t>4.4.1.1.3.00.00 - Juros e Encargos de Empréstimos Internos Concedidos - Inter Ofss – União</t>
  </si>
  <si>
    <t>4.4.1.1.4.00.00 - Juros e Encargos de Empréstimos Internos Concedidos - Inter Ofss -Estado</t>
  </si>
  <si>
    <t>4.4.1.1.5.00.00 - Juros e Encargos de Empréstimos Internos Concedidos - Inter Ofss – Município</t>
  </si>
  <si>
    <t>4.4.1.2.1.00.00 - Juros e Encargos de Empréstimos Externos Concedidos – Consolidação</t>
  </si>
  <si>
    <t>4.4.1.3.1.00.00 - Juros e Encargos de Financiamentos Internos Concedidos – Consolidação</t>
  </si>
  <si>
    <t>4.4.1.3.3.00.00 - Juros e Encargos de Financiamentos Internos Concedidos - Inter Ofss – União</t>
  </si>
  <si>
    <t>4.4.1.3.4.00.00 - Juros e Encargos de Financiamentos Internos Concedidos - Inter Ofss – Estado</t>
  </si>
  <si>
    <t>4.4.1.3.5.00.00 - Juros e Encargos de Financiamentos Internos Concedidos - Inter Ofss – Município</t>
  </si>
  <si>
    <t>4.4.1.4.1.00.00 - Juros e Encargos de Financiamentos Externos Concedidos – Consolidação</t>
  </si>
  <si>
    <t>4.4.2.1.1.00.00 - Juros e Encargos de Mora Sobre Empréstimos e Financiamentos Internos Concedidos – Consolidação</t>
  </si>
  <si>
    <t>4.4.2.1.3.00.00 - Juros e Encargos de Mora Sobre Empréstimos e Financiamentos Internos Concedidos - Inter Ofss – União</t>
  </si>
  <si>
    <t>4.4.2.1.4.00.00 - Juros e Encargos de Mora Sobre Empréstimos e Financiamentos Internos Concedidos - Inter Ofss - Estado</t>
  </si>
  <si>
    <t>4.4.2.1.5.00.00 - Juros e Encargos ee Mora Sobre Empréstimos e Financiamentos Internos Concedidos - Inter Ofss - Município</t>
  </si>
  <si>
    <t>4.4.2.2.1.00.00 - Juros e Encargos de Mora Sobre Empréstimos e Financiamentos Externos Concedidos - Consolidação</t>
  </si>
  <si>
    <t>4.4.5.1.1.00.00 - Remuneração de Depósitos Bancários - Consolidação</t>
  </si>
  <si>
    <t>4.4.5.2.1.00.00 - Remuneração de Aplicações Financeiras - Consolidação</t>
  </si>
  <si>
    <t>SOMA  DOS JUROS E ENCARGOS ATIVOS  (VIII)</t>
  </si>
  <si>
    <t>JUROS E ENCARGOS PASSIVOS (Variações Patrimoniais Diminutivas)</t>
  </si>
  <si>
    <t>SOMA  DOS JUROS E ENCARGOS PASSIVOS (IX)</t>
  </si>
  <si>
    <t>3.4.1.1.1.00.00 - Juros e Encargos da Dívida Contratual Interna - Consolidação</t>
  </si>
  <si>
    <t>3.4.1.1.3.00.00 - Juros e Encargos da Dívida Contratual Interna - Inter Ofss - União</t>
  </si>
  <si>
    <t>3.4.1.1.4.00.00 - Juros e Encargos da Dívida Contratual Interna - Inter Ofss - Estado</t>
  </si>
  <si>
    <t>3.4.1.1.5.00.00 - Juros e Encargos da Dívida Contratual Interna - Inter Ofss - Município</t>
  </si>
  <si>
    <t>3.4.1.2.1.00.00 - Juros e Encargos da Dívida Contratual Externa - Consolidação</t>
  </si>
  <si>
    <t>3.4.1.3.1.00.00 - Juros e Encargos da Dívida Mobiliaria - Consolidação</t>
  </si>
  <si>
    <t>3.4.1.4.1.00.00 - Juros e Encargos de Empréstimos por Antecipação de Receita Orçamentária – Consolidação</t>
  </si>
  <si>
    <t>3.4.1.8.1.00.00 - Outros Juros e Encargos de Empréstimos e Financiamentos Internos – Consolidação</t>
  </si>
  <si>
    <t>3.4.1.8.3.00.00 - Outros Juros e Encargos de Empréstimos e Financiamentos Internos - Inter Ofss – União</t>
  </si>
  <si>
    <t>3.4.1.8.4.00.00 - Outros Juros e Encargos de Empréstimos e Financiamentos Internos - Inter Ofss – Estado</t>
  </si>
  <si>
    <t>3.4.1.8.5.00.00 - Outros Juros e Encargos de Empréstimos e Financiamentos Internos - Inter Ofss - Município</t>
  </si>
  <si>
    <t>3.4.1.9.1.00.00 - Outros Juros e Encargos de Empréstimos e Financiamentos Externos - Consolidação</t>
  </si>
  <si>
    <t>3.4.2.1.1.00.00 - Juros e Encargos de Mora de Empréstimos e Financiamentos Internos Obtidos - Consolidação</t>
  </si>
  <si>
    <t>3.4.2.1.3.00.00 - Juros e Encargos de Mora de Empréstimos e Financiamentos Internos Obtidos - Inter Ofss - União</t>
  </si>
  <si>
    <t>3.4.2.1.4.00.00 - Juros e Encargos de Mora de Empréstimos e Financiamentos Internos Obtidos - Inter Ofss - Estado</t>
  </si>
  <si>
    <t>3.4.2.1.5.00.00 -  Juros e Encargos de Mora de Empréstimos e Financiamentos Internos Obtidos - Inter Ofss - Município</t>
  </si>
  <si>
    <t>3.4.2.2.1.00.00 - Juros e Encargos de Mora de Empréstimos e Financiamentos Externos Obtidos - Consolidação</t>
  </si>
  <si>
    <t>RESULTADO NOMINAL  -  ACIMA DA LINHA (X = VII + VIII - IX))</t>
  </si>
  <si>
    <t xml:space="preserve">TABELA 03 - Demonstrativo da Evolução da Dívida Consolidada Líquida </t>
  </si>
  <si>
    <t>Apuração Conforme a Instrução Normativa nº 12/2017, do TCE/RS</t>
  </si>
  <si>
    <t>Lei de Diretrizes Orçamentárias para o Exercício de 2019</t>
  </si>
  <si>
    <t>EXERCÍCIO DE 2019</t>
  </si>
  <si>
    <t>2017 (a)</t>
  </si>
  <si>
    <t>2017 (b)</t>
  </si>
  <si>
    <t xml:space="preserve"> EXERCÍCIO DE 2019</t>
  </si>
  <si>
    <t xml:space="preserve">EXERCÍCIO DE 2019 </t>
  </si>
  <si>
    <t>Valor Previsto 2019</t>
  </si>
  <si>
    <t>LEI DE DIRETRIZES ORÇAMENTÁRIAS – 2019</t>
  </si>
  <si>
    <t>LEI DE DIRETRIZES ORÇAMENTÁRIAS - 2019</t>
  </si>
  <si>
    <t>RECURSOS PRIORIZADOS PARA 2019</t>
  </si>
  <si>
    <t>ATÉ EXERC ANTERIOR - 2017</t>
  </si>
  <si>
    <t>NO EXERCÍCIO DE 2018</t>
  </si>
  <si>
    <t>A EXECUTAR EM 2019</t>
  </si>
  <si>
    <t>Lucros ou Prejuízos Acumulados</t>
  </si>
  <si>
    <t>SALDOS DE EXERCÍCIOS ANTERIORES A 2015</t>
  </si>
  <si>
    <t>APLICAÇÃO DOS RECURSOS DA ALIENAÇÃO DE ATIVOS (II)</t>
  </si>
  <si>
    <t>Valor (III)</t>
  </si>
  <si>
    <t>Obs:  1 -   Os valores da renúncia para 2019 foram previstos de acordo com informações do setor tributário</t>
  </si>
  <si>
    <t>Inflação para 2021:</t>
  </si>
  <si>
    <t xml:space="preserve">    Dívida Mobiliária</t>
  </si>
  <si>
    <t xml:space="preserve">    Dívida Contratual (inclusive parcelamentos)</t>
  </si>
  <si>
    <t xml:space="preserve">    Precatórios posteriores a 05-05-2000</t>
  </si>
  <si>
    <t xml:space="preserve"> DÍVIDA CONSOLIDADA (I)</t>
  </si>
  <si>
    <t>DISPONIBILIDADES DE CAIXA (II)</t>
  </si>
  <si>
    <t xml:space="preserve">   Disponibilidade da Caixa Bruta</t>
  </si>
  <si>
    <t xml:space="preserve">   (-) Restos a Pagar Processados</t>
  </si>
  <si>
    <t>DIVIDA CONSOLIDADA LÍQUIDA (III = I - II)</t>
  </si>
  <si>
    <t xml:space="preserve">   Demais Haveres Financeiros</t>
  </si>
  <si>
    <t>Previsão (Saldo Médio)</t>
  </si>
  <si>
    <t>Cronograma Anual de Operações de Crédito e  de Amortização e Serviço da Dívida</t>
  </si>
  <si>
    <t>Preenchimento Opcional Cfe. Item 02.01.02.01 da 8ª Edição do MDF</t>
  </si>
  <si>
    <t>Preenchimento opcional cfe. Item 02.01.02.01 da 8ª edição do MDF</t>
  </si>
  <si>
    <t>Preenchimento Opcional Cfe 8ª Edição do MDF</t>
  </si>
  <si>
    <t>Município de : PORTÃO/RS</t>
  </si>
  <si>
    <t xml:space="preserve">Investimentos  RPPS </t>
  </si>
  <si>
    <r>
      <t>( R ) Deduções da Receita</t>
    </r>
    <r>
      <rPr>
        <b/>
        <sz val="10"/>
        <color indexed="10"/>
        <rFont val="Times New Roman"/>
        <family val="1"/>
      </rPr>
      <t xml:space="preserve"> </t>
    </r>
  </si>
  <si>
    <t>RECEITAS DE CAPITAL - Alienação de Ativos (I)</t>
  </si>
  <si>
    <r>
      <t>Em Regime de Parcelamento de Débitos</t>
    </r>
    <r>
      <rPr>
        <sz val="8"/>
        <rFont val="Times New Roman"/>
        <family val="1"/>
      </rPr>
      <t xml:space="preserve"> </t>
    </r>
  </si>
  <si>
    <r>
      <t>PROGRAMA</t>
    </r>
    <r>
      <rPr>
        <b/>
        <sz val="10"/>
        <rFont val="Times New Roman"/>
        <family val="1"/>
      </rPr>
      <t>: AÇÃO LEGISLATIVA</t>
    </r>
  </si>
  <si>
    <t>OBJETIVO: Garantir o funcionamento das atividades do Poder Legislativo Municipal</t>
  </si>
  <si>
    <t>A</t>
  </si>
  <si>
    <t>Manutenção das Atividades do Poder Legislativo</t>
  </si>
  <si>
    <t>P</t>
  </si>
  <si>
    <t>Equipamento e Material Permanente</t>
  </si>
  <si>
    <t>Aquisição de Equipamentos</t>
  </si>
  <si>
    <t>Reformas e Ampliações da Sede da Câmara Municipal</t>
  </si>
  <si>
    <t>Melhorias de Prédios</t>
  </si>
  <si>
    <r>
      <t>TOTAL DO PROGRAMA   =======================================</t>
    </r>
    <r>
      <rPr>
        <b/>
        <sz val="10"/>
        <rFont val="Wingdings"/>
        <charset val="2"/>
      </rPr>
      <t>è</t>
    </r>
  </si>
  <si>
    <t xml:space="preserve">Manutenção das Atividades </t>
  </si>
  <si>
    <r>
      <t>PROGRAMA</t>
    </r>
    <r>
      <rPr>
        <b/>
        <sz val="10"/>
        <rFont val="Times New Roman"/>
        <family val="1"/>
      </rPr>
      <t>: APOIO ADMINISTRATIVO</t>
    </r>
  </si>
  <si>
    <t>Manutenção da Secretaria</t>
  </si>
  <si>
    <t>Atividade mantida</t>
  </si>
  <si>
    <t>Equipamento e Material permanente</t>
  </si>
  <si>
    <t>Equipamento e Material adquirido</t>
  </si>
  <si>
    <t>Compra Veículos</t>
  </si>
  <si>
    <r>
      <t>PROGRAMA</t>
    </r>
    <r>
      <rPr>
        <b/>
        <sz val="10"/>
        <rFont val="Times New Roman"/>
        <family val="1"/>
      </rPr>
      <t>: REGIME PRÓPRIO DE PREVIDÊNCIA - RPPS</t>
    </r>
  </si>
  <si>
    <t>Manutenção do RPPS</t>
  </si>
  <si>
    <t>OE</t>
  </si>
  <si>
    <t>Reserva de Contingência do RPPS</t>
  </si>
  <si>
    <r>
      <t>PROGRAMA</t>
    </r>
    <r>
      <rPr>
        <b/>
        <sz val="10"/>
        <rFont val="Times New Roman"/>
        <family val="1"/>
      </rPr>
      <t>: MANUNTENÇÃO E DESENVOLVIMENTO DA SECRETARIA DA FAZENDA</t>
    </r>
  </si>
  <si>
    <t>Manutenção da Secretaria da Fazenda</t>
  </si>
  <si>
    <t>Contratação de Profissionais para Área Tributária</t>
  </si>
  <si>
    <t>Convênio com o Registro de Imóveis (Atualização Cadastral)</t>
  </si>
  <si>
    <t>Dívida Fundada</t>
  </si>
  <si>
    <t>Reserva de Contingência</t>
  </si>
  <si>
    <r>
      <t xml:space="preserve">OE – Operação Especial      NO – Não-orçamentária         </t>
    </r>
    <r>
      <rPr>
        <sz val="8"/>
        <rFont val="Arial"/>
        <family val="2"/>
      </rPr>
      <t xml:space="preserve">   </t>
    </r>
  </si>
  <si>
    <r>
      <t>PROGRAMA</t>
    </r>
    <r>
      <rPr>
        <b/>
        <sz val="10"/>
        <rFont val="Times New Roman"/>
        <family val="1"/>
      </rPr>
      <t>: MANUTENÇÃO E DESENVOLVIMENTO DA EDUCAÇÃO BÁSICA</t>
    </r>
  </si>
  <si>
    <t>Manutenção do Atendimento das Matrículas de 02 e 03 anos</t>
  </si>
  <si>
    <t>Matrículas atendidas</t>
  </si>
  <si>
    <t>Ofertar vagas da Educação Infantil de 0 a 2 anos e ampliar o atendimento de 2 a 3 anos</t>
  </si>
  <si>
    <t>Novas vagas</t>
  </si>
  <si>
    <t>Construções e/ou adequações das instalações das EMEIs</t>
  </si>
  <si>
    <t>Obra concluída</t>
  </si>
  <si>
    <t>Ampliação do quadro de pessoal para atendimento das demandas novas</t>
  </si>
  <si>
    <t>Profissionais contratados</t>
  </si>
  <si>
    <t>Desenvolvimento e manutenção das matrículas do Ensino Fundamental em suas diversidades e especificidades</t>
  </si>
  <si>
    <t>Alunos atendidos</t>
  </si>
  <si>
    <t>Construções e adequações das escolas de Ens. Fundamental existentes ou de novas que se fizerem necessárias (inclusive quadras esportivas)</t>
  </si>
  <si>
    <t>Atendimento do Ens. Fund quanto a: Educação Especial conclusiva; Ed. de Jovens e Adultos</t>
  </si>
  <si>
    <t>Ampliação da Educação em tempo integral</t>
  </si>
  <si>
    <t>Atendimento ofertado</t>
  </si>
  <si>
    <t>Implementação e Manutenção dos programas de capacitação e formação continuada à todos os profissionais da educação</t>
  </si>
  <si>
    <t>Profissionais qualificados</t>
  </si>
  <si>
    <t>Aquisição de móveis, equipamentos e materiais pedagógicos para atendimento das demandas da Ed. Infantil e Ens. Fundamental</t>
  </si>
  <si>
    <t>Itens adquiridos</t>
  </si>
  <si>
    <t>Manutenção de programas de apoio à Educ. Infantil e Ens. Fund. visando a garantir de acesso e permanência, através do Programa de Transporte Escolar e Alimentação</t>
  </si>
  <si>
    <t>Ampliação e qualificação da educação digital e dos recursos de multimídea</t>
  </si>
  <si>
    <t>Capacitações realizadas e equipamentos adquiridos</t>
  </si>
  <si>
    <t>Desenvolvimento e Qualificação da Educação Ambiental e Educação para o Trânsito</t>
  </si>
  <si>
    <t>Manutenção do Atendimento das Matrículas de 04 e 05 anos</t>
  </si>
  <si>
    <t>Ampliação do quadro de pessoal para atendimento das novas demandas</t>
  </si>
  <si>
    <t>Implementação e manutenção de projetos educacionais que visem a melhoria do fluxo escolar e aprendizagem</t>
  </si>
  <si>
    <t>Manutenção da Secretaria de Educação</t>
  </si>
  <si>
    <t>Manutenção do Sistema Municipal de Ensino</t>
  </si>
  <si>
    <t>SME em funcionamento</t>
  </si>
  <si>
    <t>Ampliação no atendimento aos alunos do programa AEE das escolas</t>
  </si>
  <si>
    <r>
      <t>PROGRAMA</t>
    </r>
    <r>
      <rPr>
        <b/>
        <sz val="10"/>
        <rFont val="Times New Roman"/>
        <family val="1"/>
      </rPr>
      <t>: Saúde Municipal- FUNDO MUNICIPAL DE SAÚDE</t>
    </r>
  </si>
  <si>
    <t>Manutenção da Saúde</t>
  </si>
  <si>
    <t>Equipamento adquirido</t>
  </si>
  <si>
    <t>Construção/Ampliação e reforma de Unidade Básica de Saúde</t>
  </si>
  <si>
    <t>Obra construída</t>
  </si>
  <si>
    <t>Contratação de Consórcio ou Clínicas Especializadas</t>
  </si>
  <si>
    <t xml:space="preserve"> Pessoas atendidas</t>
  </si>
  <si>
    <t>Programas de Saúde</t>
  </si>
  <si>
    <t>Consultas/Exames</t>
  </si>
  <si>
    <t>SAMU/Equivalente</t>
  </si>
  <si>
    <t>Atendimento Urgência/Emergência</t>
  </si>
  <si>
    <t>Consultas/ Urgência e Emergência</t>
  </si>
  <si>
    <r>
      <t>PROGRAMA</t>
    </r>
    <r>
      <rPr>
        <b/>
        <sz val="10"/>
        <rFont val="Times New Roman"/>
        <family val="1"/>
      </rPr>
      <t>: Saúde Municipal-  REPASSES E CONVÊNIOS COM GOVERNO ESTADUAL E FEDERAL</t>
    </r>
  </si>
  <si>
    <t>Vigilância em Saúde</t>
  </si>
  <si>
    <t>Vistoria/Alvarás Sanitários</t>
  </si>
  <si>
    <t>Visitas Especializadas</t>
  </si>
  <si>
    <t>Vigilância do Trabalho</t>
  </si>
  <si>
    <t>Consultas</t>
  </si>
  <si>
    <t>Farmácia Municipal</t>
  </si>
  <si>
    <t>Transporte</t>
  </si>
  <si>
    <t>Transporte de pacientes</t>
  </si>
  <si>
    <r>
      <t>PROGRAMA</t>
    </r>
    <r>
      <rPr>
        <b/>
        <sz val="10"/>
        <rFont val="Times New Roman"/>
        <family val="1"/>
      </rPr>
      <t>: SECRETARIA DE OBRAS - ATENDIMENTO À COMUNIDADE</t>
    </r>
  </si>
  <si>
    <t>Manutenção da Secretaria de Obras e Viação</t>
  </si>
  <si>
    <t>Máquinas e Veículos</t>
  </si>
  <si>
    <t>Praças e Passeios Públicos</t>
  </si>
  <si>
    <t>Construções e Ampliações de Pontes</t>
  </si>
  <si>
    <t>Calçamento, asfalto e rede de esgotos</t>
  </si>
  <si>
    <t>Redes Elétricas Urbanas</t>
  </si>
  <si>
    <t>Construções e Ampliações de Prédios Públicos</t>
  </si>
  <si>
    <t>Manutenção Departamento de Trânsito</t>
  </si>
  <si>
    <t>LEI DE DIRETRIZES ORÇAMENTÁRIAS – 2018</t>
  </si>
  <si>
    <r>
      <t>PROGRAMA</t>
    </r>
    <r>
      <rPr>
        <b/>
        <sz val="10"/>
        <rFont val="Times New Roman"/>
        <family val="1"/>
      </rPr>
      <t>: MANUTENÇÃO E APOIO À AGRICULTURA</t>
    </r>
  </si>
  <si>
    <t>OBJETIVO: Proporcionar sustentabilidade das propriedades rurais, evitando assim o êxodo rural</t>
  </si>
  <si>
    <t>Manutenção da Secretaria da Agricultura</t>
  </si>
  <si>
    <t>Ampliação do Programa de Incentivo à Produção</t>
  </si>
  <si>
    <t>Redes Elétricas Rurais</t>
  </si>
  <si>
    <r>
      <t>PROGRAMA</t>
    </r>
    <r>
      <rPr>
        <b/>
        <sz val="10"/>
        <rFont val="Times New Roman"/>
        <family val="1"/>
      </rPr>
      <t>: GESTÃO DA ASSISTÊNCIA A SOCIAL DO MUNICÍPIO</t>
    </r>
  </si>
  <si>
    <t>OBJETIVO: Gerir e controlar os programas e ações finalísticas da Secretaria Municipal de Ação Social e Habitação</t>
  </si>
  <si>
    <t>Manutenção da Secretaria Programas de Proteção Básica</t>
  </si>
  <si>
    <t>Manutenção de Programas da Criança e Adolescente</t>
  </si>
  <si>
    <t>Manutenção dos Programas de Habitação</t>
  </si>
  <si>
    <t>Manutenção dos Programas de Proteção Básica</t>
  </si>
  <si>
    <t>Manutenção dos Programas de Proteção ao Idoso</t>
  </si>
  <si>
    <t>LEI  DE DIRETRIZES ORÇAMENTÁRIAS – 2019</t>
  </si>
  <si>
    <r>
      <t>PROGRAMA</t>
    </r>
    <r>
      <rPr>
        <b/>
        <sz val="10"/>
        <rFont val="Times New Roman"/>
        <family val="1"/>
      </rPr>
      <t>: DESENVOLVIMENTO DA INDÚSTRIA E COMÉRCIO</t>
    </r>
  </si>
  <si>
    <t>OBJETIVO: Incentivar,  promover e fomentar iniciativas que visem à geração de novos empreendimentos e oportunidades de trabalho e renda para à população.</t>
  </si>
  <si>
    <t>Programa de Incentivo (Condomínio Industrial)</t>
  </si>
  <si>
    <t>Incentivo concedido</t>
  </si>
  <si>
    <t>Cartilhas de Orientação</t>
  </si>
  <si>
    <t>Criação da Sala do Empreendedor</t>
  </si>
  <si>
    <r>
      <t>PROGRAMA</t>
    </r>
    <r>
      <rPr>
        <b/>
        <sz val="10"/>
        <rFont val="Times New Roman"/>
        <family val="1"/>
      </rPr>
      <t>: MANUTENÇÃO E DESENVOLVIMENTO DO MEIO AMBIENTE</t>
    </r>
  </si>
  <si>
    <t>Manutenção do Meio Ambiente</t>
  </si>
  <si>
    <t>Manutenção do Serviço de Coleta e Destinação Final de Resíduos Sólidos</t>
  </si>
  <si>
    <t>Processo Ministério Público – Antigo Lixão</t>
  </si>
  <si>
    <r>
      <t>PROGRAMA</t>
    </r>
    <r>
      <rPr>
        <b/>
        <sz val="10"/>
        <rFont val="Times New Roman"/>
        <family val="1"/>
      </rPr>
      <t>: DESENVOLVIMENTO DA CULTURA – ESPORTE - TURISMO</t>
    </r>
  </si>
  <si>
    <t>OBJETIVO: Desenvolver atividades voltados  a ampliação e melhoria dos serviços nas áreas  de CULTURA, ESPORTE E TURISMO ampliando a sua oferta.</t>
  </si>
  <si>
    <t>Manutenção da Secretaria de Desporto e Turismo</t>
  </si>
  <si>
    <t>Equipamento e materiais permanentes</t>
  </si>
  <si>
    <t>Equipamentos adquiridos</t>
  </si>
  <si>
    <t>Execução dos Calendários de Eventos culturais e esportivos</t>
  </si>
  <si>
    <t>Atendimento de Atividades Culturais e Esportivas</t>
  </si>
  <si>
    <t>Incentivo às instituições legalmente constituídas através de subsídios para aporte as atividades culturais e esportivas</t>
  </si>
  <si>
    <t>Instituições atendidas</t>
  </si>
  <si>
    <t>Participação e apoio as atividades de fomento ao turismo</t>
  </si>
  <si>
    <t>Atividades atendidas</t>
  </si>
  <si>
    <t>Construção e Reestruturação de Centro de Eventos Esportivos e Espaços Múltiplos de Lazer</t>
  </si>
  <si>
    <t>Restauração do Armazém Cultural</t>
  </si>
  <si>
    <t>Adequação da Estrutura Física da Biblioteca</t>
  </si>
  <si>
    <t xml:space="preserve">OBJETIVO: Promover a qualidade do serviço público e do atendimento ao cidadão através do fortalecimento e da modernização das estruturas administrativas e de políticas </t>
  </si>
  <si>
    <t>continuadas de valorização e qualificação dos servidores.</t>
  </si>
  <si>
    <t xml:space="preserve">OBJETIVO: Promover a qualidade do atendimento ao Servidor Público(Ativo, Inativo e Pensionistas) através do fortalecimento </t>
  </si>
  <si>
    <t>e da modernização das estruturas administrativas e de políticas continuadas de valorização e qualificação dos servidores.</t>
  </si>
  <si>
    <t xml:space="preserve">OBJETIVO: Planejar e executar a política financeira, tributária e contábil do município; Buscar e garantir o equilíbrio entre receitas e despesas, através da modernização dos </t>
  </si>
  <si>
    <t>serviços prestados pela secretaria, necessários para garantir o desenvolvimento do município; Aprimorar a qualidade dos serviços prestados à coletividade.</t>
  </si>
  <si>
    <t xml:space="preserve">OBJETIVO: Criar as condições imprescindíveis para garantir uma educação básica de qualidade; Visualizar o atendimento educacional de crianças de 0 a 5 anos; Universalizar </t>
  </si>
  <si>
    <t xml:space="preserve">o ensino fundamental; Garantir atendimento educacional a pessoas portadoras de necessidades educativas especiais; Incentivar a educação de jovens e adultos; Garantir condições </t>
  </si>
  <si>
    <t xml:space="preserve">físicas e de segurança para as escolas municipais; Assegurar equipamentos e material didático-pedagógico para as escolas; Melhorar a gestão dos recursos humanos das escolas </t>
  </si>
  <si>
    <t>municipais; Qualificar a gestão do sistema municipal de educação; Implantar gradativamente a Educação em tempo integral.</t>
  </si>
  <si>
    <t xml:space="preserve">OBJETIVO: Ampliar e melhorar a qualidade dos serviços básicos de saúde; Qualificar o sistema de saúde do município e melhorar o atendimento à população, com ênfase nas ações </t>
  </si>
  <si>
    <t xml:space="preserve">preventivas através da implantação da Estratégia da Saúde da Família, e da reestruturação da rede de atenção básica; Identificar, monitorar e prevenir doenças, agravos e fatores de </t>
  </si>
  <si>
    <t>risco que possam afetar a saúde humana. OBS. Acompanha, em anexo, a descrição dos programas e ações.</t>
  </si>
  <si>
    <t xml:space="preserve">OBJETIVO: Qualificar o sistema de saúde do município e melhorar o atendimento à população, com ênfase nas ações preventivas através da implantação da estratégia da saúde </t>
  </si>
  <si>
    <t>da família.</t>
  </si>
  <si>
    <t xml:space="preserve">OBJETIVO: Conservar vias públicas, através de programa de conservação permanente; Recuperar pontes, alargamento e elevação de plataformas e limpeza de arroios; Melhorar as </t>
  </si>
  <si>
    <t xml:space="preserve">condições de trafegabilidade; Eficientizar e ampliar o sistema de iluminação pública no município; Realizar serviços de apoio operacional através da execução de roçadas em áreas </t>
  </si>
  <si>
    <t>designadas pelo município, praças, canteiros e próprios municipais; Sinalizar Vias Públicas, com revitalização da sinalização horizontal, vertical, faixas de segurança de pedestres.</t>
  </si>
  <si>
    <t xml:space="preserve">OBJETIVO: Promover a melhoria da qualidade do meio ambiente através do monitoramento e do controle ambiental; Desenvolver ações de preservação do Meio Ambiente, através </t>
  </si>
  <si>
    <t>da divulgação de projetos, conscientizando a comunidade da necessidade de preservação.</t>
  </si>
  <si>
    <t>PROJEÇÃO ATUARIAL DO RPPS</t>
  </si>
  <si>
    <t>Exercíocio de 2018</t>
  </si>
  <si>
    <t>AMF – Tabela 7 (LRF, art.4º, § 2º, inciso IV, alínea “a”)</t>
  </si>
  <si>
    <t>RECEITAS PREVIDENCIÁRIAS</t>
  </si>
  <si>
    <t>DESPESAS PREVIDENCIÁRIAS</t>
  </si>
  <si>
    <t>RESULTADO PREVIDENCIÁRIO</t>
  </si>
  <si>
    <t>DO EXERCÍCIO</t>
  </si>
  <si>
    <t>(c) = (a-b)</t>
  </si>
  <si>
    <t>(d) = (d Exercício</t>
  </si>
  <si>
    <t>anterior) + (c)</t>
  </si>
  <si>
    <t>FONTE: CÁLCULO ATUARIAL DO FUNDO DE PREVIDÊNCIA SOCIAL</t>
  </si>
  <si>
    <t>Fonte: Sistema TECNOSISTEMAS, Unidade Responsável CONTABILIDADE</t>
  </si>
  <si>
    <r>
      <t xml:space="preserve">Fonte: </t>
    </r>
    <r>
      <rPr>
        <sz val="10"/>
        <rFont val="Times New Roman"/>
        <family val="1"/>
      </rPr>
      <t>Fonte: Sistema TECNOSISTEMAS, Unidade Responsável CONTABILIDADE</t>
    </r>
  </si>
  <si>
    <t>Fonte: Fonte: Sistema TECNOSISTEMAS, Unidade Responsável CONTABILIDADE</t>
  </si>
  <si>
    <t> Fonte: Sistema TECNOSISTEMAS, Unidade Responsável CONTABILIDADE</t>
  </si>
  <si>
    <t>Obs: A coluna "d" - Saldo Financeiro do Exercício, quando positivo, está sendo corrigida com a taxa de juros atuarial (6% a.a.)</t>
  </si>
  <si>
    <t>IPTU</t>
  </si>
  <si>
    <t>Concessão de</t>
  </si>
  <si>
    <t xml:space="preserve"> isenção não geral</t>
  </si>
  <si>
    <t>Programa de</t>
  </si>
  <si>
    <t>Incentivo Empresas</t>
  </si>
  <si>
    <t>2 - Os valores da renúncia projetados para 2020 e 2021, foram claculados a partir dos valores de 2019, apli</t>
  </si>
  <si>
    <t xml:space="preserve">Abertura de Créditos Adicionais a partir da </t>
  </si>
  <si>
    <t>Rerserva de Contingência</t>
  </si>
  <si>
    <t>Limitação de empenhos conforme LDO</t>
  </si>
  <si>
    <r>
      <t>ARF (LRF, art 4</t>
    </r>
    <r>
      <rPr>
        <u/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, § 3</t>
    </r>
    <r>
      <rPr>
        <u/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)</t>
    </r>
  </si>
  <si>
    <t>Deduções da Receita de Impostos</t>
  </si>
  <si>
    <t>Demais Deduções da Receita Corrente</t>
  </si>
  <si>
    <t>Demais Deduções da Receita de Capital</t>
  </si>
  <si>
    <t>Pessoal  - Executivo / Indiretas</t>
  </si>
  <si>
    <t>MUNICÍPIO DE: PORTÃO</t>
  </si>
  <si>
    <t xml:space="preserve">                          ANEXO  III -  METAS E PRIORIDADES</t>
  </si>
</sst>
</file>

<file path=xl/styles.xml><?xml version="1.0" encoding="utf-8"?>
<styleSheet xmlns="http://schemas.openxmlformats.org/spreadsheetml/2006/main">
  <numFmts count="9">
    <numFmt numFmtId="8" formatCode="&quot;R$&quot;\ #,##0.00;[Red]\-&quot;R$&quot;\ #,##0.00"/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0_);[Red]\(0\)"/>
    <numFmt numFmtId="168" formatCode="0.000%"/>
    <numFmt numFmtId="169" formatCode="0&quot;.&quot;0&quot;.&quot;0&quot;.&quot;0&quot;.&quot;00&quot;.&quot;0&quot;.&quot;0"/>
    <numFmt numFmtId="170" formatCode="_(* #,##0_);_(* \(#,##0\);_(* &quot;-&quot;??_);_(@_)"/>
  </numFmts>
  <fonts count="59">
    <font>
      <sz val="10"/>
      <name val="Arial"/>
    </font>
    <font>
      <sz val="10"/>
      <name val="Arial"/>
    </font>
    <font>
      <b/>
      <sz val="12"/>
      <color indexed="17"/>
      <name val="Helv"/>
    </font>
    <font>
      <sz val="12"/>
      <color indexed="17"/>
      <name val="Helv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57"/>
      <name val="Arial"/>
      <family val="2"/>
    </font>
    <font>
      <b/>
      <sz val="14"/>
      <color indexed="57"/>
      <name val="Arial"/>
      <family val="2"/>
    </font>
    <font>
      <b/>
      <sz val="14"/>
      <name val="Arial"/>
      <family val="2"/>
    </font>
    <font>
      <b/>
      <sz val="12"/>
      <name val="Helv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9"/>
      <name val="Wingdings"/>
      <charset val="2"/>
    </font>
    <font>
      <sz val="11"/>
      <color indexed="8"/>
      <name val="Calibri"/>
      <family val="2"/>
    </font>
    <font>
      <sz val="14"/>
      <name val="Arial"/>
      <family val="2"/>
    </font>
    <font>
      <b/>
      <sz val="12"/>
      <color indexed="57"/>
      <name val="Arial"/>
      <family val="2"/>
    </font>
    <font>
      <sz val="14"/>
      <color indexed="17"/>
      <name val="Helv"/>
    </font>
    <font>
      <sz val="8"/>
      <name val="Arial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sz val="10.5"/>
      <name val="Times New Roman"/>
      <family val="1"/>
    </font>
    <font>
      <b/>
      <sz val="10"/>
      <name val="Wingdings"/>
      <charset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9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17"/>
      <name val="Times New Roman"/>
      <family val="1"/>
    </font>
    <font>
      <sz val="10"/>
      <color indexed="1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6.5"/>
      <name val="Times New Roman"/>
      <family val="1"/>
    </font>
    <font>
      <sz val="6"/>
      <name val="Times New Roman"/>
      <family val="1"/>
    </font>
    <font>
      <u/>
      <vertAlign val="superscript"/>
      <sz val="1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22"/>
      </patternFill>
    </fill>
    <fill>
      <patternFill patternType="gray0625">
        <bgColor indexed="9"/>
      </patternFill>
    </fill>
    <fill>
      <patternFill patternType="solid">
        <fgColor indexed="27"/>
        <bgColor indexed="22"/>
      </patternFill>
    </fill>
    <fill>
      <patternFill patternType="solid">
        <fgColor theme="0"/>
        <bgColor indexed="64"/>
      </patternFill>
    </fill>
    <fill>
      <patternFill patternType="gray0625">
        <b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5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7">
    <xf numFmtId="0" fontId="0" fillId="0" borderId="0" xfId="0"/>
    <xf numFmtId="38" fontId="3" fillId="0" borderId="0" xfId="0" applyNumberFormat="1" applyFont="1" applyProtection="1">
      <protection locked="0"/>
    </xf>
    <xf numFmtId="38" fontId="3" fillId="0" borderId="0" xfId="0" applyNumberFormat="1" applyFont="1" applyBorder="1" applyProtection="1">
      <protection locked="0"/>
    </xf>
    <xf numFmtId="38" fontId="2" fillId="0" borderId="0" xfId="0" applyNumberFormat="1" applyFont="1" applyProtection="1">
      <protection locked="0"/>
    </xf>
    <xf numFmtId="38" fontId="3" fillId="0" borderId="0" xfId="0" applyNumberFormat="1" applyFont="1"/>
    <xf numFmtId="38" fontId="2" fillId="0" borderId="0" xfId="0" applyNumberFormat="1" applyFont="1" applyBorder="1" applyProtection="1">
      <protection locked="0"/>
    </xf>
    <xf numFmtId="9" fontId="3" fillId="2" borderId="0" xfId="3" applyFont="1" applyFill="1" applyBorder="1" applyProtection="1">
      <protection locked="0"/>
    </xf>
    <xf numFmtId="0" fontId="4" fillId="0" borderId="0" xfId="0" applyFont="1"/>
    <xf numFmtId="0" fontId="7" fillId="3" borderId="0" xfId="0" applyFont="1" applyFill="1"/>
    <xf numFmtId="0" fontId="8" fillId="3" borderId="0" xfId="0" applyFont="1" applyFill="1"/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38" fontId="17" fillId="0" borderId="0" xfId="0" applyNumberFormat="1" applyFont="1" applyProtection="1">
      <protection locked="0"/>
    </xf>
    <xf numFmtId="167" fontId="10" fillId="3" borderId="1" xfId="0" applyNumberFormat="1" applyFont="1" applyFill="1" applyBorder="1" applyAlignment="1" applyProtection="1">
      <alignment horizontal="center"/>
      <protection locked="0"/>
    </xf>
    <xf numFmtId="167" fontId="10" fillId="3" borderId="2" xfId="0" applyNumberFormat="1" applyFont="1" applyFill="1" applyBorder="1" applyAlignment="1" applyProtection="1">
      <alignment horizontal="center"/>
      <protection locked="0"/>
    </xf>
    <xf numFmtId="38" fontId="10" fillId="0" borderId="1" xfId="0" applyNumberFormat="1" applyFont="1" applyBorder="1" applyProtection="1">
      <protection locked="0"/>
    </xf>
    <xf numFmtId="38" fontId="10" fillId="0" borderId="2" xfId="0" applyNumberFormat="1" applyFont="1" applyBorder="1" applyProtection="1">
      <protection locked="0"/>
    </xf>
    <xf numFmtId="38" fontId="10" fillId="2" borderId="2" xfId="0" applyNumberFormat="1" applyFont="1" applyFill="1" applyBorder="1" applyProtection="1">
      <protection locked="0"/>
    </xf>
    <xf numFmtId="38" fontId="10" fillId="0" borderId="3" xfId="0" applyNumberFormat="1" applyFont="1" applyBorder="1" applyProtection="1">
      <protection locked="0"/>
    </xf>
    <xf numFmtId="38" fontId="10" fillId="2" borderId="4" xfId="0" applyNumberFormat="1" applyFont="1" applyFill="1" applyBorder="1" applyProtection="1">
      <protection locked="0"/>
    </xf>
    <xf numFmtId="38" fontId="10" fillId="0" borderId="5" xfId="0" applyNumberFormat="1" applyFont="1" applyBorder="1" applyProtection="1">
      <protection locked="0"/>
    </xf>
    <xf numFmtId="0" fontId="19" fillId="0" borderId="0" xfId="0" applyFont="1"/>
    <xf numFmtId="0" fontId="21" fillId="0" borderId="0" xfId="0" applyFont="1"/>
    <xf numFmtId="3" fontId="21" fillId="0" borderId="0" xfId="0" applyNumberFormat="1" applyFont="1"/>
    <xf numFmtId="0" fontId="20" fillId="0" borderId="0" xfId="0" applyFont="1"/>
    <xf numFmtId="4" fontId="21" fillId="2" borderId="0" xfId="3" applyNumberFormat="1" applyFont="1" applyFill="1" applyBorder="1"/>
    <xf numFmtId="0" fontId="21" fillId="0" borderId="0" xfId="0" applyFont="1" applyFill="1"/>
    <xf numFmtId="0" fontId="23" fillId="0" borderId="0" xfId="0" applyFont="1"/>
    <xf numFmtId="0" fontId="22" fillId="0" borderId="0" xfId="0" applyFont="1"/>
    <xf numFmtId="10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4" fontId="6" fillId="2" borderId="0" xfId="3" applyNumberFormat="1" applyFont="1" applyFill="1" applyBorder="1"/>
    <xf numFmtId="4" fontId="15" fillId="2" borderId="0" xfId="3" applyNumberFormat="1" applyFont="1" applyFill="1" applyBorder="1"/>
    <xf numFmtId="0" fontId="6" fillId="0" borderId="0" xfId="0" applyFont="1"/>
    <xf numFmtId="4" fontId="15" fillId="0" borderId="0" xfId="0" applyNumberFormat="1" applyFont="1" applyBorder="1"/>
    <xf numFmtId="0" fontId="24" fillId="0" borderId="0" xfId="0" applyFont="1" applyAlignment="1">
      <alignment horizontal="right"/>
    </xf>
    <xf numFmtId="0" fontId="18" fillId="0" borderId="0" xfId="0" applyFont="1" applyFill="1"/>
    <xf numFmtId="49" fontId="5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49" fontId="25" fillId="0" borderId="0" xfId="0" applyNumberFormat="1" applyFont="1"/>
    <xf numFmtId="165" fontId="15" fillId="0" borderId="7" xfId="0" applyNumberFormat="1" applyFont="1" applyFill="1" applyBorder="1" applyProtection="1">
      <protection locked="0"/>
    </xf>
    <xf numFmtId="3" fontId="15" fillId="0" borderId="0" xfId="0" applyNumberFormat="1" applyFont="1" applyBorder="1"/>
    <xf numFmtId="165" fontId="6" fillId="0" borderId="7" xfId="0" applyNumberFormat="1" applyFont="1" applyFill="1" applyBorder="1" applyAlignment="1" applyProtection="1">
      <alignment horizontal="right"/>
      <protection locked="0"/>
    </xf>
    <xf numFmtId="165" fontId="15" fillId="0" borderId="7" xfId="0" applyNumberFormat="1" applyFont="1" applyBorder="1"/>
    <xf numFmtId="0" fontId="15" fillId="0" borderId="7" xfId="0" applyFont="1" applyBorder="1"/>
    <xf numFmtId="0" fontId="0" fillId="0" borderId="0" xfId="0" applyBorder="1"/>
    <xf numFmtId="0" fontId="13" fillId="0" borderId="0" xfId="0" applyFont="1"/>
    <xf numFmtId="0" fontId="4" fillId="0" borderId="0" xfId="0" applyFont="1" applyFill="1"/>
    <xf numFmtId="0" fontId="0" fillId="0" borderId="0" xfId="0" applyFill="1"/>
    <xf numFmtId="0" fontId="29" fillId="3" borderId="0" xfId="0" applyFont="1" applyFill="1"/>
    <xf numFmtId="0" fontId="30" fillId="0" borderId="0" xfId="0" applyFont="1" applyProtection="1">
      <protection locked="0"/>
    </xf>
    <xf numFmtId="0" fontId="28" fillId="0" borderId="0" xfId="0" applyFont="1" applyFill="1"/>
    <xf numFmtId="0" fontId="7" fillId="4" borderId="0" xfId="0" applyFont="1" applyFill="1"/>
    <xf numFmtId="0" fontId="0" fillId="4" borderId="0" xfId="0" applyFill="1"/>
    <xf numFmtId="4" fontId="10" fillId="2" borderId="2" xfId="0" applyNumberFormat="1" applyFont="1" applyFill="1" applyBorder="1" applyAlignment="1" applyProtection="1">
      <alignment vertical="center"/>
      <protection locked="0"/>
    </xf>
    <xf numFmtId="4" fontId="16" fillId="2" borderId="2" xfId="0" applyNumberFormat="1" applyFont="1" applyFill="1" applyBorder="1" applyAlignment="1" applyProtection="1">
      <protection locked="0"/>
    </xf>
    <xf numFmtId="167" fontId="16" fillId="3" borderId="1" xfId="0" applyNumberFormat="1" applyFont="1" applyFill="1" applyBorder="1" applyAlignment="1">
      <alignment horizontal="center" vertical="center"/>
    </xf>
    <xf numFmtId="167" fontId="16" fillId="3" borderId="2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Protection="1">
      <protection locked="0"/>
    </xf>
    <xf numFmtId="38" fontId="3" fillId="0" borderId="0" xfId="0" applyNumberFormat="1" applyFont="1" applyFill="1" applyProtection="1">
      <protection locked="0"/>
    </xf>
    <xf numFmtId="0" fontId="30" fillId="0" borderId="0" xfId="0" applyFont="1" applyFill="1" applyProtection="1">
      <protection locked="0"/>
    </xf>
    <xf numFmtId="0" fontId="7" fillId="0" borderId="0" xfId="0" applyFont="1" applyFill="1"/>
    <xf numFmtId="0" fontId="29" fillId="0" borderId="0" xfId="0" applyFont="1" applyFill="1"/>
    <xf numFmtId="0" fontId="9" fillId="0" borderId="0" xfId="0" applyFont="1" applyFill="1"/>
    <xf numFmtId="0" fontId="8" fillId="0" borderId="0" xfId="0" applyFont="1" applyFill="1"/>
    <xf numFmtId="38" fontId="2" fillId="0" borderId="0" xfId="0" applyNumberFormat="1" applyFont="1" applyFill="1" applyProtection="1">
      <protection locked="0"/>
    </xf>
    <xf numFmtId="38" fontId="3" fillId="0" borderId="0" xfId="0" applyNumberFormat="1" applyFont="1" applyFill="1"/>
    <xf numFmtId="0" fontId="18" fillId="0" borderId="0" xfId="0" applyFont="1"/>
    <xf numFmtId="0" fontId="18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top" wrapText="1"/>
    </xf>
    <xf numFmtId="0" fontId="15" fillId="0" borderId="0" xfId="0" applyFont="1" applyAlignment="1">
      <alignment wrapText="1"/>
    </xf>
    <xf numFmtId="43" fontId="0" fillId="0" borderId="0" xfId="0" applyNumberFormat="1"/>
    <xf numFmtId="0" fontId="0" fillId="0" borderId="0" xfId="0" applyAlignment="1"/>
    <xf numFmtId="3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/>
    <xf numFmtId="165" fontId="6" fillId="4" borderId="7" xfId="0" applyNumberFormat="1" applyFont="1" applyFill="1" applyBorder="1"/>
    <xf numFmtId="165" fontId="15" fillId="4" borderId="7" xfId="0" applyNumberFormat="1" applyFont="1" applyFill="1" applyBorder="1"/>
    <xf numFmtId="0" fontId="6" fillId="4" borderId="7" xfId="0" applyFont="1" applyFill="1" applyBorder="1" applyAlignment="1">
      <alignment horizontal="left" vertical="center" wrapText="1"/>
    </xf>
    <xf numFmtId="165" fontId="6" fillId="4" borderId="7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center" wrapText="1"/>
    </xf>
    <xf numFmtId="0" fontId="33" fillId="0" borderId="0" xfId="0" applyFont="1"/>
    <xf numFmtId="3" fontId="33" fillId="0" borderId="0" xfId="0" applyNumberFormat="1" applyFont="1"/>
    <xf numFmtId="0" fontId="32" fillId="0" borderId="0" xfId="0" applyFont="1"/>
    <xf numFmtId="0" fontId="34" fillId="0" borderId="0" xfId="0" applyFont="1"/>
    <xf numFmtId="0" fontId="6" fillId="5" borderId="7" xfId="0" applyFont="1" applyFill="1" applyBorder="1"/>
    <xf numFmtId="3" fontId="6" fillId="4" borderId="7" xfId="0" applyNumberFormat="1" applyFont="1" applyFill="1" applyBorder="1" applyAlignment="1">
      <alignment horizontal="center" wrapText="1"/>
    </xf>
    <xf numFmtId="165" fontId="6" fillId="5" borderId="7" xfId="0" applyNumberFormat="1" applyFont="1" applyFill="1" applyBorder="1" applyProtection="1">
      <protection locked="0"/>
    </xf>
    <xf numFmtId="165" fontId="35" fillId="0" borderId="7" xfId="0" applyNumberFormat="1" applyFont="1" applyFill="1" applyBorder="1"/>
    <xf numFmtId="165" fontId="35" fillId="11" borderId="7" xfId="0" applyNumberFormat="1" applyFont="1" applyFill="1" applyBorder="1"/>
    <xf numFmtId="0" fontId="36" fillId="4" borderId="6" xfId="0" applyNumberFormat="1" applyFont="1" applyFill="1" applyBorder="1" applyAlignment="1" applyProtection="1">
      <alignment horizontal="center" vertical="center"/>
      <protection locked="0"/>
    </xf>
    <xf numFmtId="167" fontId="36" fillId="4" borderId="22" xfId="0" applyNumberFormat="1" applyFont="1" applyFill="1" applyBorder="1" applyAlignment="1">
      <alignment horizontal="center" vertical="center"/>
    </xf>
    <xf numFmtId="167" fontId="36" fillId="4" borderId="23" xfId="0" applyNumberFormat="1" applyFont="1" applyFill="1" applyBorder="1" applyAlignment="1" applyProtection="1">
      <alignment horizontal="center"/>
      <protection locked="0"/>
    </xf>
    <xf numFmtId="167" fontId="36" fillId="4" borderId="24" xfId="0" applyNumberFormat="1" applyFont="1" applyFill="1" applyBorder="1" applyAlignment="1" applyProtection="1">
      <alignment horizontal="center"/>
      <protection locked="0"/>
    </xf>
    <xf numFmtId="167" fontId="36" fillId="4" borderId="25" xfId="0" applyNumberFormat="1" applyFont="1" applyFill="1" applyBorder="1" applyAlignment="1" applyProtection="1">
      <alignment horizontal="center"/>
      <protection locked="0"/>
    </xf>
    <xf numFmtId="167" fontId="36" fillId="4" borderId="26" xfId="0" applyNumberFormat="1" applyFont="1" applyFill="1" applyBorder="1" applyAlignment="1" applyProtection="1">
      <alignment horizontal="center"/>
      <protection locked="0"/>
    </xf>
    <xf numFmtId="0" fontId="36" fillId="4" borderId="0" xfId="0" applyNumberFormat="1" applyFont="1" applyFill="1" applyBorder="1" applyAlignment="1" applyProtection="1">
      <alignment horizontal="center" vertical="center"/>
      <protection locked="0"/>
    </xf>
    <xf numFmtId="166" fontId="36" fillId="4" borderId="27" xfId="1" applyFont="1" applyFill="1" applyBorder="1" applyAlignment="1">
      <alignment horizontal="center" vertical="center"/>
    </xf>
    <xf numFmtId="167" fontId="36" fillId="4" borderId="1" xfId="0" applyNumberFormat="1" applyFont="1" applyFill="1" applyBorder="1" applyAlignment="1">
      <alignment horizontal="center" vertical="center"/>
    </xf>
    <xf numFmtId="167" fontId="36" fillId="4" borderId="2" xfId="0" applyNumberFormat="1" applyFont="1" applyFill="1" applyBorder="1" applyAlignment="1">
      <alignment horizontal="center" vertical="center"/>
    </xf>
    <xf numFmtId="0" fontId="36" fillId="4" borderId="17" xfId="2" applyFont="1" applyFill="1" applyBorder="1" applyAlignment="1">
      <alignment vertical="center"/>
    </xf>
    <xf numFmtId="0" fontId="36" fillId="4" borderId="17" xfId="2" applyNumberFormat="1" applyFont="1" applyFill="1" applyBorder="1" applyAlignment="1">
      <alignment vertical="center" wrapText="1"/>
    </xf>
    <xf numFmtId="43" fontId="36" fillId="4" borderId="1" xfId="0" applyNumberFormat="1" applyFont="1" applyFill="1" applyBorder="1" applyAlignment="1" applyProtection="1">
      <alignment horizontal="right"/>
      <protection locked="0"/>
    </xf>
    <xf numFmtId="0" fontId="36" fillId="4" borderId="7" xfId="2" applyFont="1" applyFill="1" applyBorder="1" applyAlignment="1">
      <alignment vertical="center"/>
    </xf>
    <xf numFmtId="0" fontId="36" fillId="4" borderId="7" xfId="2" applyNumberFormat="1" applyFont="1" applyFill="1" applyBorder="1" applyAlignment="1">
      <alignment vertical="center" wrapText="1"/>
    </xf>
    <xf numFmtId="43" fontId="36" fillId="4" borderId="7" xfId="0" applyNumberFormat="1" applyFont="1" applyFill="1" applyBorder="1"/>
    <xf numFmtId="0" fontId="35" fillId="4" borderId="7" xfId="2" applyFont="1" applyFill="1" applyBorder="1" applyAlignment="1">
      <alignment vertical="center"/>
    </xf>
    <xf numFmtId="0" fontId="35" fillId="4" borderId="7" xfId="2" applyNumberFormat="1" applyFont="1" applyFill="1" applyBorder="1" applyAlignment="1">
      <alignment vertical="center" wrapText="1"/>
    </xf>
    <xf numFmtId="43" fontId="35" fillId="0" borderId="7" xfId="0" applyNumberFormat="1" applyFont="1" applyFill="1" applyBorder="1"/>
    <xf numFmtId="43" fontId="35" fillId="4" borderId="7" xfId="0" applyNumberFormat="1" applyFont="1" applyFill="1" applyBorder="1"/>
    <xf numFmtId="0" fontId="36" fillId="6" borderId="7" xfId="2" applyFont="1" applyFill="1" applyBorder="1" applyAlignment="1">
      <alignment vertical="center"/>
    </xf>
    <xf numFmtId="0" fontId="36" fillId="6" borderId="7" xfId="2" applyNumberFormat="1" applyFont="1" applyFill="1" applyBorder="1" applyAlignment="1">
      <alignment vertical="center" wrapText="1"/>
    </xf>
    <xf numFmtId="43" fontId="36" fillId="6" borderId="7" xfId="0" applyNumberFormat="1" applyFont="1" applyFill="1" applyBorder="1"/>
    <xf numFmtId="0" fontId="35" fillId="4" borderId="7" xfId="2" applyFont="1" applyFill="1" applyBorder="1" applyAlignment="1">
      <alignment vertical="center" wrapText="1"/>
    </xf>
    <xf numFmtId="0" fontId="36" fillId="5" borderId="7" xfId="2" applyFont="1" applyFill="1" applyBorder="1" applyAlignment="1">
      <alignment vertical="center"/>
    </xf>
    <xf numFmtId="0" fontId="36" fillId="5" borderId="7" xfId="2" applyNumberFormat="1" applyFont="1" applyFill="1" applyBorder="1" applyAlignment="1">
      <alignment vertical="center" wrapText="1"/>
    </xf>
    <xf numFmtId="43" fontId="36" fillId="5" borderId="7" xfId="0" applyNumberFormat="1" applyFont="1" applyFill="1" applyBorder="1"/>
    <xf numFmtId="43" fontId="35" fillId="2" borderId="7" xfId="0" applyNumberFormat="1" applyFont="1" applyFill="1" applyBorder="1"/>
    <xf numFmtId="169" fontId="35" fillId="4" borderId="7" xfId="2" applyNumberFormat="1" applyFont="1" applyFill="1" applyBorder="1" applyAlignment="1">
      <alignment vertical="center" wrapText="1"/>
    </xf>
    <xf numFmtId="0" fontId="35" fillId="4" borderId="16" xfId="2" applyFont="1" applyFill="1" applyBorder="1" applyAlignment="1">
      <alignment vertical="center"/>
    </xf>
    <xf numFmtId="165" fontId="36" fillId="4" borderId="7" xfId="0" applyNumberFormat="1" applyFont="1" applyFill="1" applyBorder="1"/>
    <xf numFmtId="0" fontId="35" fillId="4" borderId="0" xfId="0" applyFont="1" applyFill="1" applyBorder="1"/>
    <xf numFmtId="0" fontId="35" fillId="4" borderId="11" xfId="0" applyFont="1" applyFill="1" applyBorder="1"/>
    <xf numFmtId="165" fontId="35" fillId="4" borderId="7" xfId="0" applyNumberFormat="1" applyFont="1" applyFill="1" applyBorder="1"/>
    <xf numFmtId="0" fontId="36" fillId="4" borderId="19" xfId="0" applyFont="1" applyFill="1" applyBorder="1"/>
    <xf numFmtId="0" fontId="36" fillId="4" borderId="10" xfId="0" applyFont="1" applyFill="1" applyBorder="1"/>
    <xf numFmtId="0" fontId="35" fillId="0" borderId="0" xfId="0" applyFont="1" applyFill="1"/>
    <xf numFmtId="3" fontId="35" fillId="0" borderId="0" xfId="0" applyNumberFormat="1" applyFont="1" applyFill="1"/>
    <xf numFmtId="3" fontId="38" fillId="0" borderId="0" xfId="0" applyNumberFormat="1" applyFont="1" applyFill="1"/>
    <xf numFmtId="165" fontId="35" fillId="7" borderId="7" xfId="0" applyNumberFormat="1" applyFont="1" applyFill="1" applyBorder="1"/>
    <xf numFmtId="0" fontId="36" fillId="0" borderId="0" xfId="0" applyFont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left"/>
      <protection locked="0"/>
    </xf>
    <xf numFmtId="38" fontId="35" fillId="0" borderId="0" xfId="0" applyNumberFormat="1" applyFont="1" applyBorder="1" applyAlignment="1" applyProtection="1">
      <alignment horizontal="centerContinuous"/>
      <protection locked="0"/>
    </xf>
    <xf numFmtId="0" fontId="36" fillId="2" borderId="0" xfId="0" applyFont="1" applyFill="1" applyBorder="1" applyAlignment="1" applyProtection="1">
      <protection locked="0"/>
    </xf>
    <xf numFmtId="0" fontId="40" fillId="2" borderId="0" xfId="0" applyFont="1" applyFill="1" applyBorder="1" applyAlignment="1" applyProtection="1">
      <alignment horizontal="right"/>
      <protection locked="0"/>
    </xf>
    <xf numFmtId="0" fontId="36" fillId="4" borderId="28" xfId="0" applyFont="1" applyFill="1" applyBorder="1"/>
    <xf numFmtId="0" fontId="36" fillId="4" borderId="11" xfId="0" applyFont="1" applyFill="1" applyBorder="1"/>
    <xf numFmtId="0" fontId="35" fillId="4" borderId="28" xfId="0" applyFont="1" applyFill="1" applyBorder="1"/>
    <xf numFmtId="0" fontId="35" fillId="4" borderId="12" xfId="0" applyFont="1" applyFill="1" applyBorder="1"/>
    <xf numFmtId="0" fontId="35" fillId="4" borderId="19" xfId="0" applyFont="1" applyFill="1" applyBorder="1"/>
    <xf numFmtId="49" fontId="35" fillId="0" borderId="29" xfId="0" applyNumberFormat="1" applyFont="1" applyBorder="1" applyAlignment="1">
      <alignment horizontal="justify" wrapText="1"/>
    </xf>
    <xf numFmtId="0" fontId="35" fillId="0" borderId="30" xfId="0" applyFont="1" applyBorder="1" applyAlignment="1">
      <alignment horizontal="justify" wrapText="1"/>
    </xf>
    <xf numFmtId="0" fontId="35" fillId="0" borderId="31" xfId="0" applyFont="1" applyBorder="1" applyAlignment="1">
      <alignment horizontal="justify" wrapText="1"/>
    </xf>
    <xf numFmtId="0" fontId="35" fillId="4" borderId="32" xfId="0" applyFont="1" applyFill="1" applyBorder="1" applyAlignment="1">
      <alignment horizontal="center" vertical="top" wrapText="1"/>
    </xf>
    <xf numFmtId="0" fontId="35" fillId="4" borderId="33" xfId="0" applyFont="1" applyFill="1" applyBorder="1" applyAlignment="1">
      <alignment horizontal="center" vertical="top" wrapText="1"/>
    </xf>
    <xf numFmtId="0" fontId="35" fillId="4" borderId="34" xfId="0" applyFont="1" applyFill="1" applyBorder="1" applyAlignment="1">
      <alignment horizontal="center" wrapText="1"/>
    </xf>
    <xf numFmtId="0" fontId="35" fillId="4" borderId="35" xfId="0" applyFont="1" applyFill="1" applyBorder="1" applyAlignment="1">
      <alignment horizontal="center" vertical="top" wrapText="1"/>
    </xf>
    <xf numFmtId="0" fontId="35" fillId="4" borderId="36" xfId="0" applyFont="1" applyFill="1" applyBorder="1" applyAlignment="1">
      <alignment horizontal="center" vertical="top" wrapText="1"/>
    </xf>
    <xf numFmtId="0" fontId="35" fillId="4" borderId="30" xfId="0" applyFont="1" applyFill="1" applyBorder="1" applyAlignment="1">
      <alignment horizontal="center" wrapText="1"/>
    </xf>
    <xf numFmtId="0" fontId="35" fillId="4" borderId="37" xfId="0" applyFont="1" applyFill="1" applyBorder="1" applyAlignment="1">
      <alignment horizontal="center" vertical="top" wrapText="1"/>
    </xf>
    <xf numFmtId="0" fontId="35" fillId="4" borderId="38" xfId="0" applyFont="1" applyFill="1" applyBorder="1" applyAlignment="1">
      <alignment vertical="top" wrapText="1"/>
    </xf>
    <xf numFmtId="0" fontId="35" fillId="4" borderId="38" xfId="0" applyFont="1" applyFill="1" applyBorder="1" applyAlignment="1">
      <alignment horizontal="center" vertical="top" wrapText="1"/>
    </xf>
    <xf numFmtId="0" fontId="35" fillId="4" borderId="13" xfId="0" applyFont="1" applyFill="1" applyBorder="1" applyAlignment="1">
      <alignment horizontal="center" wrapText="1"/>
    </xf>
    <xf numFmtId="0" fontId="35" fillId="4" borderId="11" xfId="0" applyFont="1" applyFill="1" applyBorder="1" applyAlignment="1">
      <alignment wrapText="1"/>
    </xf>
    <xf numFmtId="43" fontId="35" fillId="8" borderId="11" xfId="0" applyNumberFormat="1" applyFont="1" applyFill="1" applyBorder="1" applyAlignment="1">
      <alignment wrapText="1"/>
    </xf>
    <xf numFmtId="4" fontId="35" fillId="8" borderId="11" xfId="0" applyNumberFormat="1" applyFont="1" applyFill="1" applyBorder="1" applyAlignment="1">
      <alignment wrapText="1"/>
    </xf>
    <xf numFmtId="0" fontId="35" fillId="0" borderId="0" xfId="0" applyFont="1" applyAlignment="1">
      <alignment wrapText="1"/>
    </xf>
    <xf numFmtId="0" fontId="35" fillId="0" borderId="0" xfId="0" applyFont="1"/>
    <xf numFmtId="0" fontId="35" fillId="0" borderId="9" xfId="0" applyFont="1" applyFill="1" applyBorder="1" applyAlignment="1">
      <alignment wrapText="1"/>
    </xf>
    <xf numFmtId="0" fontId="35" fillId="0" borderId="7" xfId="0" applyFont="1" applyFill="1" applyBorder="1" applyAlignment="1">
      <alignment horizontal="center" vertical="top" wrapText="1"/>
    </xf>
    <xf numFmtId="0" fontId="35" fillId="0" borderId="7" xfId="0" applyFont="1" applyFill="1" applyBorder="1" applyAlignment="1">
      <alignment horizontal="center" wrapText="1"/>
    </xf>
    <xf numFmtId="0" fontId="35" fillId="0" borderId="7" xfId="0" applyFont="1" applyFill="1" applyBorder="1" applyAlignment="1">
      <alignment wrapText="1"/>
    </xf>
    <xf numFmtId="43" fontId="35" fillId="0" borderId="7" xfId="0" applyNumberFormat="1" applyFont="1" applyFill="1" applyBorder="1" applyAlignment="1">
      <alignment wrapText="1"/>
    </xf>
    <xf numFmtId="10" fontId="35" fillId="0" borderId="7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1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35" fillId="0" borderId="7" xfId="0" applyFont="1" applyFill="1" applyBorder="1" applyAlignment="1"/>
    <xf numFmtId="0" fontId="35" fillId="0" borderId="7" xfId="0" applyFont="1" applyFill="1" applyBorder="1" applyAlignment="1">
      <alignment horizontal="center"/>
    </xf>
    <xf numFmtId="0" fontId="35" fillId="0" borderId="0" xfId="0" applyFont="1" applyFill="1" applyAlignment="1">
      <alignment horizontal="left" indent="1"/>
    </xf>
    <xf numFmtId="4" fontId="35" fillId="0" borderId="7" xfId="0" applyNumberFormat="1" applyFont="1" applyFill="1" applyBorder="1" applyAlignment="1">
      <alignment wrapText="1"/>
    </xf>
    <xf numFmtId="0" fontId="35" fillId="0" borderId="0" xfId="0" applyFont="1" applyFill="1" applyAlignment="1">
      <alignment horizontal="left" indent="2"/>
    </xf>
    <xf numFmtId="0" fontId="35" fillId="0" borderId="0" xfId="0" applyFont="1" applyFill="1" applyAlignment="1">
      <alignment horizontal="left" indent="3"/>
    </xf>
    <xf numFmtId="0" fontId="35" fillId="0" borderId="0" xfId="0" applyFont="1" applyFill="1" applyAlignment="1"/>
    <xf numFmtId="0" fontId="36" fillId="0" borderId="39" xfId="0" applyNumberFormat="1" applyFont="1" applyFill="1" applyBorder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36" fillId="0" borderId="16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4" fontId="35" fillId="0" borderId="6" xfId="1" applyNumberFormat="1" applyFont="1" applyFill="1" applyBorder="1" applyAlignment="1">
      <alignment horizontal="center" vertical="center"/>
    </xf>
    <xf numFmtId="4" fontId="35" fillId="0" borderId="40" xfId="1" applyNumberFormat="1" applyFont="1" applyFill="1" applyBorder="1" applyAlignment="1">
      <alignment horizontal="center" vertical="center"/>
    </xf>
    <xf numFmtId="49" fontId="35" fillId="0" borderId="0" xfId="0" applyNumberFormat="1" applyFont="1" applyFill="1" applyAlignment="1">
      <alignment horizontal="left" vertical="center" indent="1"/>
    </xf>
    <xf numFmtId="4" fontId="35" fillId="0" borderId="0" xfId="1" applyNumberFormat="1" applyFont="1" applyFill="1" applyBorder="1" applyAlignment="1">
      <alignment horizontal="center" vertical="center"/>
    </xf>
    <xf numFmtId="4" fontId="35" fillId="0" borderId="11" xfId="1" applyNumberFormat="1" applyFont="1" applyFill="1" applyBorder="1" applyAlignment="1">
      <alignment horizontal="center" vertical="center"/>
    </xf>
    <xf numFmtId="49" fontId="35" fillId="0" borderId="0" xfId="0" applyNumberFormat="1" applyFont="1" applyFill="1" applyAlignment="1">
      <alignment vertical="center"/>
    </xf>
    <xf numFmtId="49" fontId="35" fillId="0" borderId="0" xfId="0" applyNumberFormat="1" applyFont="1" applyFill="1" applyAlignment="1">
      <alignment horizontal="left" vertical="center" indent="2"/>
    </xf>
    <xf numFmtId="4" fontId="35" fillId="0" borderId="19" xfId="1" applyNumberFormat="1" applyFont="1" applyFill="1" applyBorder="1" applyAlignment="1">
      <alignment horizontal="center" vertical="center"/>
    </xf>
    <xf numFmtId="4" fontId="35" fillId="0" borderId="10" xfId="1" applyNumberFormat="1" applyFont="1" applyFill="1" applyBorder="1" applyAlignment="1">
      <alignment horizontal="center" vertical="center"/>
    </xf>
    <xf numFmtId="49" fontId="36" fillId="0" borderId="39" xfId="0" applyNumberFormat="1" applyFont="1" applyFill="1" applyBorder="1" applyAlignment="1">
      <alignment vertical="center"/>
    </xf>
    <xf numFmtId="49" fontId="35" fillId="0" borderId="39" xfId="0" applyNumberFormat="1" applyFont="1" applyFill="1" applyBorder="1" applyAlignment="1">
      <alignment vertical="center"/>
    </xf>
    <xf numFmtId="37" fontId="36" fillId="0" borderId="39" xfId="0" applyNumberFormat="1" applyFont="1" applyFill="1" applyBorder="1" applyAlignment="1"/>
    <xf numFmtId="0" fontId="35" fillId="0" borderId="19" xfId="0" applyFont="1" applyFill="1" applyBorder="1" applyAlignment="1">
      <alignment vertical="center" wrapText="1"/>
    </xf>
    <xf numFmtId="0" fontId="35" fillId="0" borderId="0" xfId="0" applyFont="1" applyFill="1" applyBorder="1"/>
    <xf numFmtId="49" fontId="36" fillId="0" borderId="16" xfId="0" applyNumberFormat="1" applyFont="1" applyFill="1" applyBorder="1" applyAlignment="1">
      <alignment horizontal="justify" vertical="center"/>
    </xf>
    <xf numFmtId="49" fontId="36" fillId="0" borderId="0" xfId="0" applyNumberFormat="1" applyFont="1" applyFill="1" applyBorder="1" applyAlignment="1">
      <alignment horizontal="justify" vertical="center"/>
    </xf>
    <xf numFmtId="37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center" wrapText="1"/>
    </xf>
    <xf numFmtId="0" fontId="35" fillId="0" borderId="39" xfId="0" applyFont="1" applyFill="1" applyBorder="1" applyAlignment="1">
      <alignment vertical="top" wrapText="1"/>
    </xf>
    <xf numFmtId="37" fontId="35" fillId="0" borderId="0" xfId="0" applyNumberFormat="1" applyFont="1" applyFill="1" applyBorder="1" applyAlignment="1">
      <alignment vertical="center"/>
    </xf>
    <xf numFmtId="37" fontId="35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right" vertical="top" wrapText="1"/>
    </xf>
    <xf numFmtId="0" fontId="35" fillId="0" borderId="11" xfId="0" applyFont="1" applyFill="1" applyBorder="1" applyAlignment="1">
      <alignment horizontal="left" vertical="top" wrapText="1"/>
    </xf>
    <xf numFmtId="0" fontId="35" fillId="0" borderId="10" xfId="0" applyFont="1" applyFill="1" applyBorder="1" applyAlignment="1">
      <alignment horizontal="justify" vertical="top" wrapText="1"/>
    </xf>
    <xf numFmtId="0" fontId="35" fillId="0" borderId="19" xfId="0" applyFont="1" applyFill="1" applyBorder="1" applyAlignment="1">
      <alignment horizontal="right" vertical="top" wrapText="1"/>
    </xf>
    <xf numFmtId="0" fontId="35" fillId="0" borderId="19" xfId="0" applyFont="1" applyFill="1" applyBorder="1"/>
    <xf numFmtId="0" fontId="35" fillId="0" borderId="0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vertical="center" wrapText="1"/>
    </xf>
    <xf numFmtId="0" fontId="35" fillId="0" borderId="6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5" fillId="0" borderId="10" xfId="0" applyFont="1" applyFill="1" applyBorder="1" applyAlignment="1">
      <alignment wrapText="1"/>
    </xf>
    <xf numFmtId="0" fontId="35" fillId="0" borderId="19" xfId="0" applyFont="1" applyFill="1" applyBorder="1" applyAlignment="1">
      <alignment wrapText="1"/>
    </xf>
    <xf numFmtId="0" fontId="35" fillId="0" borderId="0" xfId="0" applyFont="1" applyFill="1" applyBorder="1" applyAlignment="1">
      <alignment vertical="top"/>
    </xf>
    <xf numFmtId="37" fontId="35" fillId="0" borderId="0" xfId="0" applyNumberFormat="1" applyFont="1" applyFill="1" applyBorder="1" applyAlignment="1">
      <alignment vertical="center" wrapText="1"/>
    </xf>
    <xf numFmtId="0" fontId="36" fillId="0" borderId="7" xfId="0" applyFont="1" applyFill="1" applyBorder="1" applyAlignment="1">
      <alignment vertical="center"/>
    </xf>
    <xf numFmtId="0" fontId="36" fillId="0" borderId="39" xfId="0" applyNumberFormat="1" applyFont="1" applyFill="1" applyBorder="1" applyAlignment="1">
      <alignment vertical="center"/>
    </xf>
    <xf numFmtId="0" fontId="36" fillId="0" borderId="40" xfId="0" applyFont="1" applyFill="1" applyBorder="1" applyAlignment="1">
      <alignment vertical="center" wrapText="1"/>
    </xf>
    <xf numFmtId="37" fontId="35" fillId="0" borderId="7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top" wrapText="1"/>
    </xf>
    <xf numFmtId="0" fontId="35" fillId="0" borderId="41" xfId="0" applyFont="1" applyFill="1" applyBorder="1" applyAlignment="1">
      <alignment horizontal="left" vertical="top" wrapText="1"/>
    </xf>
    <xf numFmtId="0" fontId="35" fillId="0" borderId="41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right" vertical="top" wrapText="1"/>
    </xf>
    <xf numFmtId="0" fontId="35" fillId="0" borderId="41" xfId="0" applyFont="1" applyFill="1" applyBorder="1"/>
    <xf numFmtId="0" fontId="35" fillId="0" borderId="4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/>
    </xf>
    <xf numFmtId="4" fontId="35" fillId="0" borderId="0" xfId="1" applyNumberFormat="1" applyFont="1" applyFill="1" applyBorder="1" applyAlignment="1"/>
    <xf numFmtId="4" fontId="35" fillId="0" borderId="11" xfId="1" applyNumberFormat="1" applyFont="1" applyFill="1" applyBorder="1" applyAlignment="1">
      <alignment horizontal="center"/>
    </xf>
    <xf numFmtId="4" fontId="35" fillId="0" borderId="0" xfId="1" applyNumberFormat="1" applyFont="1" applyFill="1" applyBorder="1" applyAlignment="1">
      <alignment wrapText="1"/>
    </xf>
    <xf numFmtId="4" fontId="35" fillId="0" borderId="11" xfId="1" applyNumberFormat="1" applyFont="1" applyFill="1" applyBorder="1" applyAlignment="1">
      <alignment wrapText="1"/>
    </xf>
    <xf numFmtId="4" fontId="35" fillId="0" borderId="39" xfId="1" applyNumberFormat="1" applyFont="1" applyFill="1" applyBorder="1" applyAlignment="1">
      <alignment vertical="center" wrapText="1"/>
    </xf>
    <xf numFmtId="4" fontId="35" fillId="0" borderId="16" xfId="1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top" wrapText="1"/>
    </xf>
    <xf numFmtId="0" fontId="20" fillId="9" borderId="0" xfId="0" applyFont="1" applyFill="1" applyBorder="1" applyAlignment="1">
      <alignment vertical="top" wrapText="1"/>
    </xf>
    <xf numFmtId="0" fontId="13" fillId="0" borderId="0" xfId="0" applyFont="1" applyBorder="1"/>
    <xf numFmtId="0" fontId="36" fillId="12" borderId="42" xfId="0" applyFont="1" applyFill="1" applyBorder="1" applyAlignment="1">
      <alignment horizontal="center" vertical="top" wrapText="1"/>
    </xf>
    <xf numFmtId="0" fontId="36" fillId="12" borderId="43" xfId="0" applyFont="1" applyFill="1" applyBorder="1" applyAlignment="1">
      <alignment horizontal="center" vertical="top" wrapText="1"/>
    </xf>
    <xf numFmtId="0" fontId="36" fillId="12" borderId="8" xfId="0" applyFont="1" applyFill="1" applyBorder="1" applyAlignment="1">
      <alignment horizontal="center" vertical="top" wrapText="1"/>
    </xf>
    <xf numFmtId="0" fontId="36" fillId="12" borderId="42" xfId="0" applyFont="1" applyFill="1" applyBorder="1" applyAlignment="1">
      <alignment vertical="top" wrapText="1"/>
    </xf>
    <xf numFmtId="0" fontId="0" fillId="12" borderId="8" xfId="0" applyFill="1" applyBorder="1" applyAlignment="1">
      <alignment vertical="top" wrapText="1"/>
    </xf>
    <xf numFmtId="0" fontId="35" fillId="0" borderId="44" xfId="0" applyFont="1" applyBorder="1" applyAlignment="1">
      <alignment horizontal="center" vertical="top" wrapText="1"/>
    </xf>
    <xf numFmtId="0" fontId="35" fillId="0" borderId="43" xfId="0" applyFont="1" applyBorder="1" applyAlignment="1">
      <alignment horizontal="justify" vertical="top" wrapText="1"/>
    </xf>
    <xf numFmtId="0" fontId="35" fillId="0" borderId="8" xfId="0" applyFont="1" applyBorder="1" applyAlignment="1">
      <alignment horizontal="justify" vertical="top" wrapText="1"/>
    </xf>
    <xf numFmtId="0" fontId="36" fillId="12" borderId="43" xfId="0" applyFont="1" applyFill="1" applyBorder="1" applyAlignment="1">
      <alignment vertical="top" wrapText="1"/>
    </xf>
    <xf numFmtId="4" fontId="0" fillId="0" borderId="0" xfId="0" applyNumberFormat="1"/>
    <xf numFmtId="0" fontId="35" fillId="0" borderId="43" xfId="0" applyFont="1" applyBorder="1" applyAlignment="1">
      <alignment horizontal="right" vertical="top" wrapText="1"/>
    </xf>
    <xf numFmtId="4" fontId="35" fillId="0" borderId="43" xfId="0" applyNumberFormat="1" applyFont="1" applyBorder="1" applyAlignment="1">
      <alignment horizontal="right" vertical="top" wrapText="1"/>
    </xf>
    <xf numFmtId="0" fontId="35" fillId="0" borderId="8" xfId="0" applyFont="1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4" fontId="36" fillId="0" borderId="8" xfId="0" applyNumberFormat="1" applyFont="1" applyBorder="1" applyAlignment="1">
      <alignment horizontal="right" vertical="top" wrapText="1"/>
    </xf>
    <xf numFmtId="0" fontId="35" fillId="0" borderId="45" xfId="0" applyFont="1" applyBorder="1" applyAlignment="1">
      <alignment horizontal="center" vertical="top" wrapText="1"/>
    </xf>
    <xf numFmtId="0" fontId="11" fillId="0" borderId="0" xfId="0" applyFont="1"/>
    <xf numFmtId="0" fontId="43" fillId="0" borderId="0" xfId="0" applyFont="1" applyAlignment="1">
      <alignment horizontal="center"/>
    </xf>
    <xf numFmtId="0" fontId="36" fillId="12" borderId="8" xfId="0" applyFont="1" applyFill="1" applyBorder="1" applyAlignment="1">
      <alignment vertical="top" wrapText="1"/>
    </xf>
    <xf numFmtId="4" fontId="35" fillId="0" borderId="8" xfId="0" applyNumberFormat="1" applyFont="1" applyBorder="1" applyAlignment="1">
      <alignment horizontal="right" vertical="top" wrapText="1"/>
    </xf>
    <xf numFmtId="0" fontId="43" fillId="12" borderId="43" xfId="0" applyFont="1" applyFill="1" applyBorder="1" applyAlignment="1">
      <alignment vertical="top" wrapText="1"/>
    </xf>
    <xf numFmtId="0" fontId="44" fillId="0" borderId="43" xfId="0" applyFont="1" applyBorder="1" applyAlignment="1">
      <alignment horizontal="right" vertical="top" wrapText="1"/>
    </xf>
    <xf numFmtId="0" fontId="35" fillId="0" borderId="42" xfId="0" applyFont="1" applyBorder="1" applyAlignment="1">
      <alignment horizontal="justify" vertical="top" wrapText="1"/>
    </xf>
    <xf numFmtId="0" fontId="43" fillId="12" borderId="42" xfId="0" applyFont="1" applyFill="1" applyBorder="1" applyAlignment="1">
      <alignment vertical="top" wrapText="1"/>
    </xf>
    <xf numFmtId="4" fontId="44" fillId="0" borderId="8" xfId="0" applyNumberFormat="1" applyFont="1" applyBorder="1" applyAlignment="1">
      <alignment horizontal="right" vertical="top" wrapText="1"/>
    </xf>
    <xf numFmtId="0" fontId="35" fillId="12" borderId="43" xfId="0" applyFont="1" applyFill="1" applyBorder="1" applyAlignment="1">
      <alignment vertical="top" wrapText="1"/>
    </xf>
    <xf numFmtId="0" fontId="35" fillId="12" borderId="42" xfId="0" applyFont="1" applyFill="1" applyBorder="1" applyAlignment="1">
      <alignment horizontal="center" vertical="top" wrapText="1"/>
    </xf>
    <xf numFmtId="0" fontId="35" fillId="12" borderId="43" xfId="0" applyFont="1" applyFill="1" applyBorder="1" applyAlignment="1">
      <alignment horizontal="center" vertical="top" wrapText="1"/>
    </xf>
    <xf numFmtId="0" fontId="35" fillId="12" borderId="8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left"/>
    </xf>
    <xf numFmtId="0" fontId="35" fillId="0" borderId="43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0" xfId="0" applyNumberFormat="1" applyFont="1"/>
    <xf numFmtId="0" fontId="36" fillId="13" borderId="7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6" fillId="14" borderId="7" xfId="0" applyFont="1" applyFill="1" applyBorder="1" applyProtection="1">
      <protection locked="0"/>
    </xf>
    <xf numFmtId="10" fontId="35" fillId="13" borderId="7" xfId="0" applyNumberFormat="1" applyFont="1" applyFill="1" applyBorder="1" applyAlignment="1" applyProtection="1">
      <alignment horizontal="right"/>
      <protection locked="0"/>
    </xf>
    <xf numFmtId="10" fontId="35" fillId="13" borderId="7" xfId="0" applyNumberFormat="1" applyFont="1" applyFill="1" applyBorder="1" applyAlignment="1" applyProtection="1">
      <alignment horizontal="center"/>
    </xf>
    <xf numFmtId="10" fontId="35" fillId="11" borderId="7" xfId="0" applyNumberFormat="1" applyFont="1" applyFill="1" applyBorder="1" applyAlignment="1" applyProtection="1">
      <alignment horizontal="center"/>
    </xf>
    <xf numFmtId="0" fontId="44" fillId="0" borderId="0" xfId="0" applyFont="1"/>
    <xf numFmtId="0" fontId="36" fillId="14" borderId="7" xfId="0" applyFont="1" applyFill="1" applyBorder="1"/>
    <xf numFmtId="10" fontId="35" fillId="13" borderId="7" xfId="0" applyNumberFormat="1" applyFont="1" applyFill="1" applyBorder="1"/>
    <xf numFmtId="0" fontId="36" fillId="15" borderId="7" xfId="0" applyFont="1" applyFill="1" applyBorder="1"/>
    <xf numFmtId="10" fontId="35" fillId="11" borderId="7" xfId="0" applyNumberFormat="1" applyFont="1" applyFill="1" applyBorder="1" applyAlignment="1" applyProtection="1">
      <alignment horizontal="center"/>
      <protection locked="0"/>
    </xf>
    <xf numFmtId="0" fontId="36" fillId="13" borderId="7" xfId="0" applyFont="1" applyFill="1" applyBorder="1"/>
    <xf numFmtId="39" fontId="35" fillId="13" borderId="7" xfId="0" applyNumberFormat="1" applyFont="1" applyFill="1" applyBorder="1"/>
    <xf numFmtId="39" fontId="35" fillId="13" borderId="7" xfId="0" applyNumberFormat="1" applyFont="1" applyFill="1" applyBorder="1" applyAlignment="1" applyProtection="1">
      <alignment horizontal="center"/>
    </xf>
    <xf numFmtId="39" fontId="35" fillId="11" borderId="7" xfId="0" applyNumberFormat="1" applyFont="1" applyFill="1" applyBorder="1" applyAlignment="1" applyProtection="1">
      <alignment horizontal="center"/>
    </xf>
    <xf numFmtId="0" fontId="45" fillId="0" borderId="0" xfId="0" applyFont="1"/>
    <xf numFmtId="0" fontId="46" fillId="0" borderId="0" xfId="0" applyFont="1"/>
    <xf numFmtId="0" fontId="44" fillId="0" borderId="0" xfId="0" applyFont="1" applyBorder="1"/>
    <xf numFmtId="0" fontId="48" fillId="10" borderId="39" xfId="0" applyFont="1" applyFill="1" applyBorder="1" applyAlignment="1" applyProtection="1">
      <alignment horizontal="center" vertical="center"/>
    </xf>
    <xf numFmtId="0" fontId="48" fillId="10" borderId="7" xfId="0" applyFont="1" applyFill="1" applyBorder="1" applyAlignment="1" applyProtection="1">
      <alignment horizontal="center" vertical="center"/>
    </xf>
    <xf numFmtId="49" fontId="48" fillId="10" borderId="39" xfId="0" applyNumberFormat="1" applyFont="1" applyFill="1" applyBorder="1" applyAlignment="1" applyProtection="1">
      <alignment vertical="center"/>
    </xf>
    <xf numFmtId="43" fontId="48" fillId="10" borderId="7" xfId="0" applyNumberFormat="1" applyFont="1" applyFill="1" applyBorder="1" applyAlignment="1" applyProtection="1">
      <alignment vertical="center"/>
    </xf>
    <xf numFmtId="49" fontId="48" fillId="10" borderId="39" xfId="0" applyNumberFormat="1" applyFont="1" applyFill="1" applyBorder="1" applyAlignment="1" applyProtection="1">
      <alignment horizontal="left" vertical="center"/>
    </xf>
    <xf numFmtId="43" fontId="48" fillId="10" borderId="7" xfId="0" applyNumberFormat="1" applyFont="1" applyFill="1" applyBorder="1" applyAlignment="1" applyProtection="1">
      <alignment horizontal="left" vertical="center"/>
    </xf>
    <xf numFmtId="49" fontId="49" fillId="10" borderId="0" xfId="0" applyNumberFormat="1" applyFont="1" applyFill="1" applyBorder="1" applyAlignment="1" applyProtection="1">
      <alignment horizontal="left" vertical="center"/>
    </xf>
    <xf numFmtId="43" fontId="49" fillId="10" borderId="7" xfId="0" applyNumberFormat="1" applyFont="1" applyFill="1" applyBorder="1" applyAlignment="1" applyProtection="1">
      <alignment horizontal="left" vertical="center"/>
    </xf>
    <xf numFmtId="0" fontId="49" fillId="10" borderId="0" xfId="0" applyFont="1" applyFill="1" applyAlignment="1" applyProtection="1">
      <alignment horizontal="left" vertical="center" indent="1"/>
    </xf>
    <xf numFmtId="43" fontId="49" fillId="10" borderId="7" xfId="0" applyNumberFormat="1" applyFont="1" applyFill="1" applyBorder="1" applyAlignment="1" applyProtection="1">
      <alignment horizontal="left" vertical="center" indent="1"/>
    </xf>
    <xf numFmtId="49" fontId="49" fillId="10" borderId="0" xfId="0" applyNumberFormat="1" applyFont="1" applyFill="1" applyBorder="1" applyAlignment="1" applyProtection="1">
      <alignment horizontal="left" vertical="center" indent="1"/>
    </xf>
    <xf numFmtId="0" fontId="36" fillId="5" borderId="19" xfId="0" applyFont="1" applyFill="1" applyBorder="1" applyAlignment="1">
      <alignment horizontal="center" wrapText="1"/>
    </xf>
    <xf numFmtId="0" fontId="50" fillId="5" borderId="0" xfId="0" applyFont="1" applyFill="1" applyBorder="1" applyAlignment="1">
      <alignment horizontal="center" wrapText="1"/>
    </xf>
    <xf numFmtId="1" fontId="48" fillId="4" borderId="10" xfId="4" applyNumberFormat="1" applyFont="1" applyFill="1" applyBorder="1" applyAlignment="1" applyProtection="1">
      <alignment horizontal="center" vertical="center" wrapText="1"/>
    </xf>
    <xf numFmtId="0" fontId="49" fillId="4" borderId="0" xfId="4" applyNumberFormat="1" applyFont="1" applyFill="1" applyBorder="1" applyAlignment="1" applyProtection="1">
      <alignment horizontal="left" vertical="center"/>
    </xf>
    <xf numFmtId="43" fontId="49" fillId="4" borderId="28" xfId="4" applyNumberFormat="1" applyFont="1" applyFill="1" applyBorder="1" applyAlignment="1" applyProtection="1">
      <alignment horizontal="left" vertical="center" indent="2"/>
    </xf>
    <xf numFmtId="0" fontId="49" fillId="4" borderId="0" xfId="4" applyNumberFormat="1" applyFont="1" applyFill="1" applyAlignment="1" applyProtection="1">
      <alignment horizontal="left" vertical="center"/>
    </xf>
    <xf numFmtId="49" fontId="35" fillId="4" borderId="0" xfId="0" applyNumberFormat="1" applyFont="1" applyFill="1" applyAlignment="1" applyProtection="1">
      <alignment vertical="center"/>
    </xf>
    <xf numFmtId="170" fontId="35" fillId="4" borderId="0" xfId="4" applyNumberFormat="1" applyFont="1" applyFill="1" applyAlignment="1" applyProtection="1">
      <alignment vertical="center"/>
    </xf>
    <xf numFmtId="0" fontId="49" fillId="4" borderId="20" xfId="4" applyNumberFormat="1" applyFont="1" applyFill="1" applyBorder="1" applyAlignment="1" applyProtection="1">
      <alignment horizontal="left" vertical="center"/>
    </xf>
    <xf numFmtId="43" fontId="49" fillId="4" borderId="46" xfId="4" applyNumberFormat="1" applyFont="1" applyFill="1" applyBorder="1" applyAlignment="1" applyProtection="1">
      <alignment horizontal="left" vertical="center" indent="2"/>
    </xf>
    <xf numFmtId="0" fontId="49" fillId="4" borderId="12" xfId="4" applyNumberFormat="1" applyFont="1" applyFill="1" applyBorder="1" applyAlignment="1" applyProtection="1">
      <alignment horizontal="left" vertical="center"/>
    </xf>
    <xf numFmtId="0" fontId="49" fillId="4" borderId="17" xfId="4" applyNumberFormat="1" applyFont="1" applyFill="1" applyBorder="1" applyAlignment="1" applyProtection="1">
      <alignment horizontal="left" vertical="center"/>
    </xf>
    <xf numFmtId="43" fontId="49" fillId="4" borderId="47" xfId="4" applyNumberFormat="1" applyFont="1" applyFill="1" applyBorder="1" applyAlignment="1" applyProtection="1">
      <alignment horizontal="left" vertical="center" indent="2"/>
    </xf>
    <xf numFmtId="0" fontId="51" fillId="0" borderId="0" xfId="0" applyFont="1"/>
    <xf numFmtId="3" fontId="46" fillId="0" borderId="0" xfId="0" applyNumberFormat="1" applyFont="1"/>
    <xf numFmtId="0" fontId="50" fillId="0" borderId="0" xfId="0" applyFont="1"/>
    <xf numFmtId="43" fontId="46" fillId="0" borderId="0" xfId="0" applyNumberFormat="1" applyFont="1" applyBorder="1"/>
    <xf numFmtId="43" fontId="46" fillId="2" borderId="0" xfId="0" applyNumberFormat="1" applyFont="1" applyFill="1" applyBorder="1" applyProtection="1">
      <protection locked="0"/>
    </xf>
    <xf numFmtId="3" fontId="36" fillId="4" borderId="7" xfId="0" applyNumberFormat="1" applyFont="1" applyFill="1" applyBorder="1" applyAlignment="1">
      <alignment horizontal="center"/>
    </xf>
    <xf numFmtId="0" fontId="36" fillId="4" borderId="7" xfId="0" applyFont="1" applyFill="1" applyBorder="1" applyAlignment="1">
      <alignment horizontal="center"/>
    </xf>
    <xf numFmtId="0" fontId="36" fillId="2" borderId="7" xfId="0" applyNumberFormat="1" applyFont="1" applyFill="1" applyBorder="1"/>
    <xf numFmtId="43" fontId="35" fillId="16" borderId="7" xfId="0" applyNumberFormat="1" applyFont="1" applyFill="1" applyBorder="1" applyProtection="1">
      <protection locked="0"/>
    </xf>
    <xf numFmtId="0" fontId="35" fillId="2" borderId="7" xfId="0" applyNumberFormat="1" applyFont="1" applyFill="1" applyBorder="1"/>
    <xf numFmtId="43" fontId="35" fillId="16" borderId="7" xfId="0" applyNumberFormat="1" applyFont="1" applyFill="1" applyBorder="1"/>
    <xf numFmtId="43" fontId="36" fillId="16" borderId="7" xfId="0" applyNumberFormat="1" applyFont="1" applyFill="1" applyBorder="1"/>
    <xf numFmtId="0" fontId="36" fillId="0" borderId="7" xfId="0" applyNumberFormat="1" applyFont="1" applyBorder="1"/>
    <xf numFmtId="0" fontId="35" fillId="0" borderId="7" xfId="0" applyNumberFormat="1" applyFont="1" applyBorder="1"/>
    <xf numFmtId="0" fontId="48" fillId="0" borderId="7" xfId="0" applyNumberFormat="1" applyFont="1" applyBorder="1"/>
    <xf numFmtId="43" fontId="48" fillId="16" borderId="7" xfId="0" applyNumberFormat="1" applyFont="1" applyFill="1" applyBorder="1"/>
    <xf numFmtId="0" fontId="52" fillId="0" borderId="0" xfId="0" applyFont="1"/>
    <xf numFmtId="3" fontId="35" fillId="0" borderId="0" xfId="0" applyNumberFormat="1" applyFont="1"/>
    <xf numFmtId="0" fontId="53" fillId="0" borderId="0" xfId="0" applyFont="1"/>
    <xf numFmtId="43" fontId="36" fillId="16" borderId="7" xfId="0" applyNumberFormat="1" applyFont="1" applyFill="1" applyBorder="1" applyProtection="1">
      <protection locked="0"/>
    </xf>
    <xf numFmtId="43" fontId="36" fillId="3" borderId="7" xfId="0" applyNumberFormat="1" applyFont="1" applyFill="1" applyBorder="1"/>
    <xf numFmtId="0" fontId="35" fillId="2" borderId="48" xfId="0" applyFont="1" applyFill="1" applyBorder="1" applyAlignment="1">
      <alignment horizontal="justify" vertical="center" wrapText="1"/>
    </xf>
    <xf numFmtId="43" fontId="35" fillId="0" borderId="7" xfId="0" applyNumberFormat="1" applyFont="1" applyBorder="1"/>
    <xf numFmtId="0" fontId="35" fillId="2" borderId="49" xfId="0" applyFont="1" applyFill="1" applyBorder="1" applyAlignment="1">
      <alignment horizontal="justify" vertical="center" wrapText="1"/>
    </xf>
    <xf numFmtId="0" fontId="35" fillId="2" borderId="50" xfId="0" applyFont="1" applyFill="1" applyBorder="1" applyAlignment="1">
      <alignment horizontal="justify" vertical="center" wrapText="1"/>
    </xf>
    <xf numFmtId="0" fontId="36" fillId="6" borderId="7" xfId="0" applyFont="1" applyFill="1" applyBorder="1"/>
    <xf numFmtId="3" fontId="36" fillId="6" borderId="7" xfId="0" applyNumberFormat="1" applyFont="1" applyFill="1" applyBorder="1"/>
    <xf numFmtId="0" fontId="35" fillId="2" borderId="51" xfId="0" applyFont="1" applyFill="1" applyBorder="1" applyAlignment="1">
      <alignment horizontal="justify" vertical="center" wrapText="1"/>
    </xf>
    <xf numFmtId="0" fontId="35" fillId="2" borderId="45" xfId="0" applyFont="1" applyFill="1" applyBorder="1" applyAlignment="1">
      <alignment horizontal="justify" vertical="center" wrapText="1"/>
    </xf>
    <xf numFmtId="0" fontId="35" fillId="0" borderId="52" xfId="0" applyFont="1" applyFill="1" applyBorder="1" applyAlignment="1">
      <alignment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wrapText="1"/>
    </xf>
    <xf numFmtId="0" fontId="35" fillId="0" borderId="17" xfId="0" quotePrefix="1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10" fontId="35" fillId="16" borderId="7" xfId="0" applyNumberFormat="1" applyFont="1" applyFill="1" applyBorder="1" applyAlignment="1">
      <alignment wrapText="1"/>
    </xf>
    <xf numFmtId="43" fontId="35" fillId="0" borderId="7" xfId="0" applyNumberFormat="1" applyFont="1" applyFill="1" applyBorder="1" applyAlignment="1">
      <alignment horizontal="right" wrapText="1"/>
    </xf>
    <xf numFmtId="43" fontId="35" fillId="16" borderId="7" xfId="0" applyNumberFormat="1" applyFont="1" applyFill="1" applyBorder="1" applyAlignment="1">
      <alignment vertical="top" wrapText="1"/>
    </xf>
    <xf numFmtId="10" fontId="35" fillId="16" borderId="7" xfId="0" applyNumberFormat="1" applyFont="1" applyFill="1" applyBorder="1" applyAlignment="1">
      <alignment horizontal="right" vertical="top" wrapText="1"/>
    </xf>
    <xf numFmtId="43" fontId="35" fillId="16" borderId="7" xfId="0" applyNumberFormat="1" applyFont="1" applyFill="1" applyBorder="1" applyAlignment="1">
      <alignment horizontal="right" wrapText="1"/>
    </xf>
    <xf numFmtId="43" fontId="35" fillId="0" borderId="7" xfId="0" applyNumberFormat="1" applyFont="1" applyFill="1" applyBorder="1" applyAlignment="1" applyProtection="1">
      <alignment wrapText="1"/>
      <protection locked="0"/>
    </xf>
    <xf numFmtId="0" fontId="35" fillId="0" borderId="9" xfId="0" applyFont="1" applyFill="1" applyBorder="1" applyAlignment="1">
      <alignment horizontal="left"/>
    </xf>
    <xf numFmtId="164" fontId="35" fillId="0" borderId="9" xfId="0" applyNumberFormat="1" applyFont="1" applyFill="1" applyBorder="1" applyAlignment="1">
      <alignment horizontal="left"/>
    </xf>
    <xf numFmtId="0" fontId="35" fillId="0" borderId="11" xfId="0" applyFont="1" applyFill="1" applyBorder="1"/>
    <xf numFmtId="43" fontId="35" fillId="0" borderId="11" xfId="0" applyNumberFormat="1" applyFont="1" applyFill="1" applyBorder="1" applyAlignment="1">
      <alignment horizontal="right" wrapText="1"/>
    </xf>
    <xf numFmtId="43" fontId="35" fillId="16" borderId="11" xfId="0" applyNumberFormat="1" applyFont="1" applyFill="1" applyBorder="1" applyAlignment="1">
      <alignment horizontal="right" wrapText="1"/>
    </xf>
    <xf numFmtId="10" fontId="35" fillId="16" borderId="11" xfId="0" applyNumberFormat="1" applyFont="1" applyFill="1" applyBorder="1" applyAlignment="1">
      <alignment horizontal="right" vertical="top"/>
    </xf>
    <xf numFmtId="43" fontId="35" fillId="16" borderId="11" xfId="0" applyNumberFormat="1" applyFont="1" applyFill="1" applyBorder="1" applyAlignment="1">
      <alignment horizontal="right" vertical="top"/>
    </xf>
    <xf numFmtId="10" fontId="35" fillId="16" borderId="11" xfId="0" applyNumberFormat="1" applyFont="1" applyFill="1" applyBorder="1" applyAlignment="1">
      <alignment horizontal="right" vertical="top" wrapText="1"/>
    </xf>
    <xf numFmtId="43" fontId="35" fillId="0" borderId="11" xfId="0" applyNumberFormat="1" applyFont="1" applyFill="1" applyBorder="1" applyAlignment="1" applyProtection="1">
      <alignment horizontal="right"/>
      <protection locked="0"/>
    </xf>
    <xf numFmtId="43" fontId="35" fillId="16" borderId="11" xfId="0" applyNumberFormat="1" applyFont="1" applyFill="1" applyBorder="1" applyAlignment="1" applyProtection="1">
      <alignment horizontal="right"/>
      <protection locked="0"/>
    </xf>
    <xf numFmtId="0" fontId="35" fillId="0" borderId="10" xfId="0" applyFont="1" applyFill="1" applyBorder="1"/>
    <xf numFmtId="43" fontId="35" fillId="16" borderId="10" xfId="0" applyNumberFormat="1" applyFont="1" applyFill="1" applyBorder="1" applyAlignment="1" applyProtection="1">
      <alignment horizontal="right"/>
      <protection locked="0"/>
    </xf>
    <xf numFmtId="43" fontId="35" fillId="16" borderId="11" xfId="0" applyNumberFormat="1" applyFont="1" applyFill="1" applyBorder="1" applyAlignment="1">
      <alignment horizontal="right"/>
    </xf>
    <xf numFmtId="43" fontId="35" fillId="16" borderId="10" xfId="0" applyNumberFormat="1" applyFont="1" applyFill="1" applyBorder="1" applyAlignment="1">
      <alignment horizontal="right"/>
    </xf>
    <xf numFmtId="0" fontId="54" fillId="0" borderId="9" xfId="0" applyFont="1" applyFill="1" applyBorder="1" applyAlignment="1">
      <alignment wrapText="1"/>
    </xf>
    <xf numFmtId="164" fontId="54" fillId="0" borderId="9" xfId="0" applyNumberFormat="1" applyFont="1" applyFill="1" applyBorder="1" applyAlignment="1">
      <alignment horizontal="right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wrapText="1"/>
    </xf>
    <xf numFmtId="165" fontId="54" fillId="16" borderId="11" xfId="0" applyNumberFormat="1" applyFont="1" applyFill="1" applyBorder="1" applyAlignment="1">
      <alignment wrapText="1"/>
    </xf>
    <xf numFmtId="10" fontId="54" fillId="16" borderId="11" xfId="0" applyNumberFormat="1" applyFont="1" applyFill="1" applyBorder="1" applyAlignment="1">
      <alignment wrapText="1"/>
    </xf>
    <xf numFmtId="165" fontId="54" fillId="11" borderId="11" xfId="0" applyNumberFormat="1" applyFont="1" applyFill="1" applyBorder="1" applyAlignment="1" applyProtection="1">
      <alignment wrapText="1"/>
      <protection locked="0"/>
    </xf>
    <xf numFmtId="165" fontId="54" fillId="0" borderId="11" xfId="0" applyNumberFormat="1" applyFont="1" applyFill="1" applyBorder="1" applyAlignment="1" applyProtection="1">
      <alignment wrapText="1"/>
      <protection locked="0"/>
    </xf>
    <xf numFmtId="0" fontId="54" fillId="0" borderId="10" xfId="0" applyFont="1" applyFill="1" applyBorder="1" applyAlignment="1">
      <alignment wrapText="1"/>
    </xf>
    <xf numFmtId="165" fontId="54" fillId="0" borderId="10" xfId="0" applyNumberFormat="1" applyFont="1" applyFill="1" applyBorder="1" applyAlignment="1" applyProtection="1">
      <alignment wrapText="1"/>
      <protection locked="0"/>
    </xf>
    <xf numFmtId="10" fontId="54" fillId="16" borderId="10" xfId="0" applyNumberFormat="1" applyFont="1" applyFill="1" applyBorder="1" applyAlignment="1">
      <alignment wrapText="1"/>
    </xf>
    <xf numFmtId="0" fontId="55" fillId="0" borderId="10" xfId="0" applyFont="1" applyFill="1" applyBorder="1" applyAlignment="1">
      <alignment wrapText="1"/>
    </xf>
    <xf numFmtId="165" fontId="54" fillId="16" borderId="10" xfId="0" applyNumberFormat="1" applyFont="1" applyFill="1" applyBorder="1" applyAlignment="1">
      <alignment wrapText="1"/>
    </xf>
    <xf numFmtId="165" fontId="54" fillId="16" borderId="11" xfId="0" applyNumberFormat="1" applyFont="1" applyFill="1" applyBorder="1" applyAlignment="1" applyProtection="1">
      <alignment wrapText="1"/>
      <protection locked="0"/>
    </xf>
    <xf numFmtId="165" fontId="54" fillId="16" borderId="10" xfId="0" applyNumberFormat="1" applyFont="1" applyFill="1" applyBorder="1" applyAlignment="1" applyProtection="1">
      <alignment wrapText="1"/>
      <protection locked="0"/>
    </xf>
    <xf numFmtId="0" fontId="54" fillId="0" borderId="7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vertical="top" wrapText="1"/>
    </xf>
    <xf numFmtId="0" fontId="54" fillId="0" borderId="9" xfId="0" applyFont="1" applyFill="1" applyBorder="1" applyAlignment="1">
      <alignment vertical="top" wrapText="1"/>
    </xf>
    <xf numFmtId="164" fontId="54" fillId="0" borderId="9" xfId="0" applyNumberFormat="1" applyFont="1" applyFill="1" applyBorder="1" applyAlignment="1">
      <alignment horizontal="right" vertical="top" wrapText="1"/>
    </xf>
    <xf numFmtId="0" fontId="54" fillId="0" borderId="11" xfId="0" applyFont="1" applyFill="1" applyBorder="1" applyAlignment="1">
      <alignment horizontal="left" vertical="center" wrapText="1"/>
    </xf>
    <xf numFmtId="165" fontId="54" fillId="16" borderId="11" xfId="0" applyNumberFormat="1" applyFont="1" applyFill="1" applyBorder="1" applyAlignment="1">
      <alignment horizontal="center" vertical="center" wrapText="1"/>
    </xf>
    <xf numFmtId="165" fontId="54" fillId="0" borderId="7" xfId="0" applyNumberFormat="1" applyFont="1" applyFill="1" applyBorder="1" applyAlignment="1">
      <alignment horizontal="right" vertical="center" wrapText="1"/>
    </xf>
    <xf numFmtId="0" fontId="55" fillId="0" borderId="11" xfId="0" applyFont="1" applyFill="1" applyBorder="1" applyAlignment="1">
      <alignment vertical="top" wrapText="1"/>
    </xf>
    <xf numFmtId="165" fontId="55" fillId="16" borderId="7" xfId="0" applyNumberFormat="1" applyFont="1" applyFill="1" applyBorder="1" applyAlignment="1">
      <alignment vertical="top" wrapText="1"/>
    </xf>
    <xf numFmtId="0" fontId="54" fillId="0" borderId="11" xfId="0" applyFont="1" applyFill="1" applyBorder="1" applyAlignment="1">
      <alignment vertical="top" wrapText="1"/>
    </xf>
    <xf numFmtId="165" fontId="54" fillId="16" borderId="7" xfId="0" applyNumberFormat="1" applyFont="1" applyFill="1" applyBorder="1" applyAlignment="1" applyProtection="1">
      <alignment vertical="top" wrapText="1"/>
      <protection locked="0"/>
    </xf>
    <xf numFmtId="0" fontId="54" fillId="0" borderId="10" xfId="0" applyFont="1" applyFill="1" applyBorder="1" applyAlignment="1">
      <alignment vertical="top" wrapText="1"/>
    </xf>
    <xf numFmtId="165" fontId="54" fillId="0" borderId="7" xfId="0" applyNumberFormat="1" applyFont="1" applyFill="1" applyBorder="1" applyAlignment="1" applyProtection="1">
      <alignment vertical="top" wrapText="1"/>
      <protection locked="0"/>
    </xf>
    <xf numFmtId="43" fontId="54" fillId="16" borderId="20" xfId="0" applyNumberFormat="1" applyFont="1" applyFill="1" applyBorder="1" applyAlignment="1" applyProtection="1">
      <alignment vertical="top" wrapText="1"/>
      <protection locked="0"/>
    </xf>
    <xf numFmtId="165" fontId="54" fillId="16" borderId="11" xfId="0" applyNumberFormat="1" applyFont="1" applyFill="1" applyBorder="1" applyAlignment="1">
      <alignment vertical="top" wrapText="1"/>
    </xf>
    <xf numFmtId="165" fontId="54" fillId="16" borderId="12" xfId="0" applyNumberFormat="1" applyFont="1" applyFill="1" applyBorder="1" applyAlignment="1">
      <alignment vertical="top" wrapText="1"/>
    </xf>
    <xf numFmtId="165" fontId="54" fillId="0" borderId="11" xfId="0" applyNumberFormat="1" applyFont="1" applyFill="1" applyBorder="1" applyAlignment="1" applyProtection="1">
      <alignment vertical="top" wrapText="1"/>
      <protection locked="0"/>
    </xf>
    <xf numFmtId="165" fontId="54" fillId="0" borderId="12" xfId="0" applyNumberFormat="1" applyFont="1" applyFill="1" applyBorder="1" applyAlignment="1" applyProtection="1">
      <alignment vertical="top" wrapText="1"/>
      <protection locked="0"/>
    </xf>
    <xf numFmtId="165" fontId="54" fillId="0" borderId="10" xfId="0" applyNumberFormat="1" applyFont="1" applyFill="1" applyBorder="1" applyAlignment="1" applyProtection="1">
      <alignment vertical="top" wrapText="1"/>
      <protection locked="0"/>
    </xf>
    <xf numFmtId="165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40" xfId="0" applyFont="1" applyFill="1" applyBorder="1" applyAlignment="1">
      <alignment horizontal="left" vertical="top" wrapText="1"/>
    </xf>
    <xf numFmtId="165" fontId="54" fillId="16" borderId="10" xfId="0" applyNumberFormat="1" applyFont="1" applyFill="1" applyBorder="1" applyAlignment="1" applyProtection="1">
      <alignment vertical="top" wrapText="1"/>
      <protection locked="0"/>
    </xf>
    <xf numFmtId="165" fontId="54" fillId="16" borderId="17" xfId="0" applyNumberFormat="1" applyFont="1" applyFill="1" applyBorder="1" applyAlignment="1" applyProtection="1">
      <alignment vertical="top" wrapText="1"/>
      <protection locked="0"/>
    </xf>
    <xf numFmtId="0" fontId="55" fillId="0" borderId="0" xfId="0" applyFont="1" applyFill="1" applyBorder="1" applyAlignment="1">
      <alignment horizontal="left" vertical="top" wrapText="1"/>
    </xf>
    <xf numFmtId="165" fontId="54" fillId="16" borderId="7" xfId="0" applyNumberFormat="1" applyFont="1" applyFill="1" applyBorder="1" applyAlignment="1">
      <alignment vertical="top" wrapText="1"/>
    </xf>
    <xf numFmtId="4" fontId="35" fillId="17" borderId="39" xfId="0" applyNumberFormat="1" applyFont="1" applyFill="1" applyBorder="1" applyAlignment="1">
      <alignment wrapText="1"/>
    </xf>
    <xf numFmtId="4" fontId="35" fillId="17" borderId="16" xfId="0" applyNumberFormat="1" applyFont="1" applyFill="1" applyBorder="1" applyAlignment="1">
      <alignment wrapText="1"/>
    </xf>
    <xf numFmtId="0" fontId="36" fillId="0" borderId="0" xfId="0" applyFont="1" applyFill="1"/>
    <xf numFmtId="0" fontId="56" fillId="0" borderId="0" xfId="0" applyFont="1" applyFill="1" applyBorder="1" applyAlignment="1">
      <alignment horizontal="left" vertical="top"/>
    </xf>
    <xf numFmtId="0" fontId="56" fillId="0" borderId="0" xfId="0" applyFont="1" applyFill="1" applyBorder="1" applyAlignment="1">
      <alignment horizontal="left" vertical="top" wrapText="1"/>
    </xf>
    <xf numFmtId="0" fontId="56" fillId="0" borderId="19" xfId="0" applyFont="1" applyFill="1" applyBorder="1" applyAlignment="1">
      <alignment horizontal="right" vertical="top" wrapText="1"/>
    </xf>
    <xf numFmtId="164" fontId="56" fillId="0" borderId="19" xfId="0" applyNumberFormat="1" applyFont="1" applyFill="1" applyBorder="1" applyAlignment="1">
      <alignment horizontal="right" vertical="top" wrapText="1"/>
    </xf>
    <xf numFmtId="0" fontId="57" fillId="0" borderId="20" xfId="0" applyFont="1" applyFill="1" applyBorder="1" applyAlignment="1">
      <alignment horizontal="center" wrapText="1"/>
    </xf>
    <xf numFmtId="0" fontId="57" fillId="0" borderId="46" xfId="0" applyFont="1" applyFill="1" applyBorder="1" applyAlignment="1">
      <alignment horizontal="center"/>
    </xf>
    <xf numFmtId="0" fontId="57" fillId="0" borderId="40" xfId="0" applyFont="1" applyFill="1" applyBorder="1" applyAlignment="1">
      <alignment horizontal="center"/>
    </xf>
    <xf numFmtId="0" fontId="57" fillId="0" borderId="46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left" vertical="top"/>
    </xf>
    <xf numFmtId="0" fontId="57" fillId="0" borderId="12" xfId="0" applyFont="1" applyFill="1" applyBorder="1" applyAlignment="1">
      <alignment horizontal="center" wrapText="1"/>
    </xf>
    <xf numFmtId="0" fontId="57" fillId="0" borderId="28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top" wrapText="1"/>
    </xf>
    <xf numFmtId="0" fontId="57" fillId="0" borderId="28" xfId="0" applyFont="1" applyFill="1" applyBorder="1" applyAlignment="1">
      <alignment horizontal="center"/>
    </xf>
    <xf numFmtId="0" fontId="57" fillId="0" borderId="11" xfId="0" applyFont="1" applyFill="1" applyBorder="1" applyAlignment="1">
      <alignment horizontal="center"/>
    </xf>
    <xf numFmtId="0" fontId="57" fillId="0" borderId="28" xfId="0" applyFont="1" applyFill="1" applyBorder="1" applyAlignment="1">
      <alignment horizontal="center" vertical="top" wrapText="1"/>
    </xf>
    <xf numFmtId="0" fontId="57" fillId="0" borderId="17" xfId="0" applyFont="1" applyFill="1" applyBorder="1" applyAlignment="1">
      <alignment horizontal="center" vertical="top" wrapText="1"/>
    </xf>
    <xf numFmtId="0" fontId="57" fillId="0" borderId="47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47" xfId="0" applyFont="1" applyFill="1" applyBorder="1" applyAlignment="1">
      <alignment horizontal="center" vertical="top" wrapText="1"/>
    </xf>
    <xf numFmtId="0" fontId="56" fillId="0" borderId="7" xfId="0" applyFont="1" applyFill="1" applyBorder="1" applyAlignment="1">
      <alignment horizontal="right" vertical="top" wrapText="1"/>
    </xf>
    <xf numFmtId="43" fontId="56" fillId="0" borderId="7" xfId="0" applyNumberFormat="1" applyFont="1" applyFill="1" applyBorder="1" applyAlignment="1">
      <alignment horizontal="right" vertical="top" wrapText="1"/>
    </xf>
    <xf numFmtId="43" fontId="56" fillId="0" borderId="16" xfId="0" applyNumberFormat="1" applyFont="1" applyFill="1" applyBorder="1" applyAlignment="1">
      <alignment horizontal="right" vertical="top" wrapText="1"/>
    </xf>
    <xf numFmtId="43" fontId="56" fillId="0" borderId="47" xfId="0" applyNumberFormat="1" applyFont="1" applyBorder="1" applyAlignment="1">
      <alignment horizontal="center" vertical="center" wrapText="1"/>
    </xf>
    <xf numFmtId="43" fontId="56" fillId="0" borderId="17" xfId="0" applyNumberFormat="1" applyFont="1" applyFill="1" applyBorder="1" applyAlignment="1">
      <alignment horizontal="right" vertical="top" wrapText="1"/>
    </xf>
    <xf numFmtId="43" fontId="56" fillId="0" borderId="53" xfId="0" applyNumberFormat="1" applyFont="1" applyBorder="1" applyAlignment="1">
      <alignment horizontal="center" vertical="center" wrapText="1"/>
    </xf>
    <xf numFmtId="43" fontId="56" fillId="0" borderId="12" xfId="0" applyNumberFormat="1" applyFont="1" applyFill="1" applyBorder="1" applyAlignment="1">
      <alignment horizontal="right" vertical="top" wrapText="1"/>
    </xf>
    <xf numFmtId="0" fontId="11" fillId="0" borderId="0" xfId="0" applyFont="1" applyFill="1"/>
    <xf numFmtId="0" fontId="56" fillId="0" borderId="53" xfId="0" applyFont="1" applyFill="1" applyBorder="1" applyAlignment="1">
      <alignment horizontal="right" vertical="top" wrapText="1"/>
    </xf>
    <xf numFmtId="43" fontId="56" fillId="0" borderId="19" xfId="0" applyNumberFormat="1" applyFont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top" wrapText="1"/>
    </xf>
    <xf numFmtId="4" fontId="35" fillId="0" borderId="0" xfId="0" applyNumberFormat="1" applyFont="1" applyFill="1" applyBorder="1" applyAlignment="1">
      <alignment horizontal="right" vertical="top" wrapText="1"/>
    </xf>
    <xf numFmtId="4" fontId="35" fillId="0" borderId="0" xfId="0" applyNumberFormat="1" applyFont="1" applyFill="1" applyBorder="1"/>
    <xf numFmtId="0" fontId="36" fillId="5" borderId="16" xfId="0" applyFont="1" applyFill="1" applyBorder="1" applyAlignment="1">
      <alignment horizontal="center" wrapText="1"/>
    </xf>
    <xf numFmtId="43" fontId="49" fillId="4" borderId="20" xfId="4" applyNumberFormat="1" applyFont="1" applyFill="1" applyBorder="1" applyAlignment="1" applyProtection="1">
      <alignment horizontal="left" vertical="center" indent="2"/>
    </xf>
    <xf numFmtId="43" fontId="49" fillId="4" borderId="12" xfId="4" applyNumberFormat="1" applyFont="1" applyFill="1" applyBorder="1" applyAlignment="1" applyProtection="1">
      <alignment horizontal="left" vertical="center" indent="2"/>
    </xf>
    <xf numFmtId="43" fontId="49" fillId="4" borderId="17" xfId="4" applyNumberFormat="1" applyFont="1" applyFill="1" applyBorder="1" applyAlignment="1" applyProtection="1">
      <alignment horizontal="left" vertical="center" indent="2"/>
    </xf>
    <xf numFmtId="0" fontId="5" fillId="0" borderId="39" xfId="0" applyFont="1" applyFill="1" applyBorder="1"/>
    <xf numFmtId="43" fontId="56" fillId="0" borderId="16" xfId="0" applyNumberFormat="1" applyFont="1" applyBorder="1" applyAlignment="1">
      <alignment vertical="center" wrapText="1"/>
    </xf>
    <xf numFmtId="43" fontId="56" fillId="0" borderId="10" xfId="0" applyNumberFormat="1" applyFont="1" applyBorder="1" applyAlignment="1">
      <alignment vertical="center" wrapText="1"/>
    </xf>
    <xf numFmtId="165" fontId="5" fillId="0" borderId="0" xfId="0" applyNumberFormat="1" applyFont="1"/>
    <xf numFmtId="43" fontId="5" fillId="0" borderId="0" xfId="0" applyNumberFormat="1" applyFont="1"/>
    <xf numFmtId="0" fontId="36" fillId="0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51" fillId="4" borderId="7" xfId="0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left" wrapText="1"/>
    </xf>
    <xf numFmtId="165" fontId="46" fillId="0" borderId="7" xfId="0" applyNumberFormat="1" applyFont="1" applyFill="1" applyBorder="1" applyAlignment="1">
      <alignment horizontal="justify" vertical="top" wrapText="1"/>
    </xf>
    <xf numFmtId="0" fontId="46" fillId="0" borderId="7" xfId="0" applyFont="1" applyFill="1" applyBorder="1" applyAlignment="1">
      <alignment horizontal="justify" vertical="top" wrapText="1"/>
    </xf>
    <xf numFmtId="0" fontId="51" fillId="4" borderId="20" xfId="0" applyFont="1" applyFill="1" applyBorder="1" applyAlignment="1">
      <alignment horizontal="left" wrapText="1"/>
    </xf>
    <xf numFmtId="165" fontId="51" fillId="4" borderId="20" xfId="0" applyNumberFormat="1" applyFont="1" applyFill="1" applyBorder="1" applyAlignment="1">
      <alignment horizontal="justify" vertical="top" wrapText="1"/>
    </xf>
    <xf numFmtId="0" fontId="51" fillId="4" borderId="7" xfId="0" applyFont="1" applyFill="1" applyBorder="1" applyAlignment="1">
      <alignment horizontal="left" wrapText="1"/>
    </xf>
    <xf numFmtId="165" fontId="51" fillId="4" borderId="7" xfId="0" applyNumberFormat="1" applyFont="1" applyFill="1" applyBorder="1" applyAlignment="1">
      <alignment horizontal="justify" vertical="top" wrapText="1"/>
    </xf>
    <xf numFmtId="0" fontId="46" fillId="0" borderId="39" xfId="0" applyFont="1" applyFill="1" applyBorder="1" applyAlignment="1">
      <alignment horizontal="center" wrapText="1"/>
    </xf>
    <xf numFmtId="0" fontId="46" fillId="0" borderId="16" xfId="0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wrapText="1"/>
    </xf>
    <xf numFmtId="0" fontId="51" fillId="4" borderId="17" xfId="0" applyFont="1" applyFill="1" applyBorder="1" applyAlignment="1">
      <alignment horizontal="center" wrapText="1"/>
    </xf>
    <xf numFmtId="165" fontId="46" fillId="4" borderId="7" xfId="0" applyNumberFormat="1" applyFont="1" applyFill="1" applyBorder="1" applyAlignment="1">
      <alignment horizontal="justify" vertical="top" wrapText="1"/>
    </xf>
    <xf numFmtId="0" fontId="46" fillId="0" borderId="9" xfId="0" applyFont="1" applyFill="1" applyBorder="1" applyAlignment="1">
      <alignment wrapText="1"/>
    </xf>
    <xf numFmtId="164" fontId="46" fillId="0" borderId="9" xfId="0" applyNumberFormat="1" applyFont="1" applyBorder="1" applyAlignment="1">
      <alignment horizontal="right" wrapText="1"/>
    </xf>
    <xf numFmtId="0" fontId="46" fillId="0" borderId="10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11" xfId="0" applyFont="1" applyBorder="1" applyAlignment="1">
      <alignment vertical="top" wrapText="1"/>
    </xf>
    <xf numFmtId="165" fontId="51" fillId="3" borderId="0" xfId="0" applyNumberFormat="1" applyFont="1" applyFill="1" applyAlignment="1" applyProtection="1">
      <alignment vertical="top" wrapText="1"/>
      <protection locked="0"/>
    </xf>
    <xf numFmtId="0" fontId="46" fillId="0" borderId="11" xfId="0" applyFont="1" applyBorder="1" applyAlignment="1">
      <alignment vertical="top" wrapText="1"/>
    </xf>
    <xf numFmtId="165" fontId="46" fillId="0" borderId="0" xfId="0" applyNumberFormat="1" applyFont="1" applyAlignment="1" applyProtection="1">
      <alignment vertical="top" wrapText="1"/>
      <protection locked="0"/>
    </xf>
    <xf numFmtId="0" fontId="46" fillId="0" borderId="10" xfId="0" applyFont="1" applyBorder="1" applyAlignment="1">
      <alignment vertical="top" wrapText="1"/>
    </xf>
    <xf numFmtId="0" fontId="51" fillId="0" borderId="10" xfId="0" applyFont="1" applyBorder="1" applyAlignment="1">
      <alignment vertical="top" wrapText="1"/>
    </xf>
    <xf numFmtId="165" fontId="51" fillId="3" borderId="19" xfId="0" applyNumberFormat="1" applyFont="1" applyFill="1" applyBorder="1" applyAlignment="1" applyProtection="1">
      <alignment vertical="top" wrapText="1"/>
      <protection locked="0"/>
    </xf>
    <xf numFmtId="165" fontId="46" fillId="0" borderId="19" xfId="0" applyNumberFormat="1" applyFont="1" applyBorder="1" applyAlignment="1" applyProtection="1">
      <alignment vertical="top" wrapText="1"/>
      <protection locked="0"/>
    </xf>
    <xf numFmtId="165" fontId="51" fillId="3" borderId="19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/>
    <xf numFmtId="49" fontId="11" fillId="0" borderId="0" xfId="0" applyNumberFormat="1" applyFont="1"/>
    <xf numFmtId="0" fontId="51" fillId="0" borderId="9" xfId="0" applyFont="1" applyFill="1" applyBorder="1" applyAlignment="1">
      <alignment wrapText="1"/>
    </xf>
    <xf numFmtId="164" fontId="46" fillId="0" borderId="9" xfId="0" applyNumberFormat="1" applyFont="1" applyFill="1" applyBorder="1" applyAlignment="1">
      <alignment horizontal="right" wrapText="1"/>
    </xf>
    <xf numFmtId="0" fontId="46" fillId="4" borderId="10" xfId="0" applyFont="1" applyFill="1" applyBorder="1" applyAlignment="1">
      <alignment horizontal="center"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51" fillId="4" borderId="11" xfId="0" applyFont="1" applyFill="1" applyBorder="1" applyAlignment="1">
      <alignment vertical="top" wrapText="1"/>
    </xf>
    <xf numFmtId="165" fontId="51" fillId="4" borderId="12" xfId="0" applyNumberFormat="1" applyFont="1" applyFill="1" applyBorder="1" applyAlignment="1">
      <alignment vertical="top" wrapText="1"/>
    </xf>
    <xf numFmtId="0" fontId="46" fillId="4" borderId="11" xfId="0" applyFont="1" applyFill="1" applyBorder="1" applyAlignment="1">
      <alignment vertical="top" wrapText="1"/>
    </xf>
    <xf numFmtId="165" fontId="46" fillId="4" borderId="12" xfId="0" applyNumberFormat="1" applyFont="1" applyFill="1" applyBorder="1" applyAlignment="1">
      <alignment vertical="top" wrapText="1"/>
    </xf>
    <xf numFmtId="0" fontId="46" fillId="4" borderId="10" xfId="0" applyFont="1" applyFill="1" applyBorder="1" applyAlignment="1">
      <alignment vertical="top" wrapText="1"/>
    </xf>
    <xf numFmtId="0" fontId="51" fillId="4" borderId="10" xfId="0" applyFont="1" applyFill="1" applyBorder="1" applyAlignment="1">
      <alignment vertical="top" wrapText="1"/>
    </xf>
    <xf numFmtId="165" fontId="51" fillId="4" borderId="17" xfId="0" applyNumberFormat="1" applyFont="1" applyFill="1" applyBorder="1" applyAlignment="1">
      <alignment vertical="top" wrapText="1"/>
    </xf>
    <xf numFmtId="165" fontId="46" fillId="0" borderId="17" xfId="0" applyNumberFormat="1" applyFont="1" applyFill="1" applyBorder="1" applyAlignment="1">
      <alignment vertical="top" wrapText="1"/>
    </xf>
    <xf numFmtId="165" fontId="46" fillId="0" borderId="12" xfId="0" applyNumberFormat="1" applyFont="1" applyFill="1" applyBorder="1" applyAlignment="1">
      <alignment vertical="top" wrapText="1"/>
    </xf>
    <xf numFmtId="165" fontId="51" fillId="4" borderId="17" xfId="0" applyNumberFormat="1" applyFont="1" applyFill="1" applyBorder="1" applyAlignment="1">
      <alignment horizontal="right" vertical="top" wrapText="1"/>
    </xf>
    <xf numFmtId="0" fontId="36" fillId="0" borderId="18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 wrapText="1"/>
    </xf>
    <xf numFmtId="0" fontId="35" fillId="0" borderId="14" xfId="0" applyFont="1" applyFill="1" applyBorder="1" applyAlignment="1">
      <alignment horizontal="left" wrapText="1"/>
    </xf>
    <xf numFmtId="164" fontId="35" fillId="0" borderId="15" xfId="0" applyNumberFormat="1" applyFont="1" applyFill="1" applyBorder="1" applyAlignment="1">
      <alignment horizontal="right" wrapText="1"/>
    </xf>
    <xf numFmtId="0" fontId="35" fillId="4" borderId="16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wrapText="1"/>
    </xf>
    <xf numFmtId="0" fontId="35" fillId="0" borderId="20" xfId="0" applyFont="1" applyFill="1" applyBorder="1"/>
    <xf numFmtId="165" fontId="35" fillId="0" borderId="11" xfId="0" applyNumberFormat="1" applyFont="1" applyFill="1" applyBorder="1" applyAlignment="1">
      <alignment wrapText="1"/>
    </xf>
    <xf numFmtId="165" fontId="35" fillId="4" borderId="11" xfId="0" applyNumberFormat="1" applyFont="1" applyFill="1" applyBorder="1" applyAlignment="1">
      <alignment wrapText="1"/>
    </xf>
    <xf numFmtId="0" fontId="35" fillId="0" borderId="12" xfId="0" applyFont="1" applyFill="1" applyBorder="1" applyAlignment="1">
      <alignment horizontal="center" wrapText="1"/>
    </xf>
    <xf numFmtId="165" fontId="35" fillId="0" borderId="10" xfId="0" applyNumberFormat="1" applyFont="1" applyFill="1" applyBorder="1" applyAlignment="1">
      <alignment wrapText="1"/>
    </xf>
    <xf numFmtId="165" fontId="35" fillId="4" borderId="10" xfId="0" applyNumberFormat="1" applyFont="1" applyFill="1" applyBorder="1" applyAlignment="1">
      <alignment wrapText="1"/>
    </xf>
    <xf numFmtId="0" fontId="35" fillId="4" borderId="7" xfId="0" applyFont="1" applyFill="1" applyBorder="1" applyAlignment="1">
      <alignment horizontal="center" wrapText="1"/>
    </xf>
    <xf numFmtId="0" fontId="35" fillId="0" borderId="6" xfId="0" applyFont="1" applyFill="1" applyBorder="1" applyAlignment="1">
      <alignment horizontal="left"/>
    </xf>
    <xf numFmtId="10" fontId="35" fillId="0" borderId="0" xfId="0" applyNumberFormat="1" applyFont="1"/>
    <xf numFmtId="0" fontId="35" fillId="0" borderId="8" xfId="0" applyFont="1" applyBorder="1" applyAlignment="1">
      <alignment horizontal="center" wrapText="1"/>
    </xf>
    <xf numFmtId="0" fontId="35" fillId="0" borderId="8" xfId="0" applyFont="1" applyFill="1" applyBorder="1" applyAlignment="1">
      <alignment wrapText="1"/>
    </xf>
    <xf numFmtId="43" fontId="35" fillId="0" borderId="8" xfId="0" applyNumberFormat="1" applyFont="1" applyFill="1" applyBorder="1" applyAlignment="1">
      <alignment wrapText="1"/>
    </xf>
    <xf numFmtId="10" fontId="35" fillId="0" borderId="8" xfId="0" applyNumberFormat="1" applyFont="1" applyFill="1" applyBorder="1" applyAlignment="1">
      <alignment horizontal="center" wrapText="1"/>
    </xf>
    <xf numFmtId="10" fontId="35" fillId="0" borderId="19" xfId="0" applyNumberFormat="1" applyFont="1" applyFill="1" applyBorder="1" applyAlignment="1">
      <alignment horizontal="center" wrapText="1"/>
    </xf>
    <xf numFmtId="10" fontId="35" fillId="0" borderId="21" xfId="0" applyNumberFormat="1" applyFont="1" applyFill="1" applyBorder="1" applyAlignment="1">
      <alignment horizontal="center" wrapText="1"/>
    </xf>
    <xf numFmtId="0" fontId="35" fillId="0" borderId="8" xfId="0" applyFont="1" applyFill="1" applyBorder="1" applyAlignment="1">
      <alignment horizontal="center" wrapText="1"/>
    </xf>
    <xf numFmtId="43" fontId="35" fillId="0" borderId="8" xfId="0" applyNumberFormat="1" applyFont="1" applyFill="1" applyBorder="1" applyAlignment="1">
      <alignment horizontal="right" wrapText="1"/>
    </xf>
    <xf numFmtId="10" fontId="35" fillId="0" borderId="39" xfId="0" applyNumberFormat="1" applyFont="1" applyFill="1" applyBorder="1" applyAlignment="1">
      <alignment horizontal="center" wrapText="1"/>
    </xf>
    <xf numFmtId="17" fontId="35" fillId="0" borderId="8" xfId="0" applyNumberFormat="1" applyFont="1" applyFill="1" applyBorder="1" applyAlignment="1">
      <alignment horizontal="center" wrapText="1"/>
    </xf>
    <xf numFmtId="10" fontId="35" fillId="0" borderId="0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justify" vertical="top" wrapText="1"/>
    </xf>
    <xf numFmtId="0" fontId="35" fillId="0" borderId="65" xfId="0" applyFont="1" applyBorder="1" applyAlignment="1">
      <alignment horizontal="justify" vertical="top" wrapText="1"/>
    </xf>
    <xf numFmtId="0" fontId="36" fillId="12" borderId="65" xfId="0" applyFont="1" applyFill="1" applyBorder="1" applyAlignment="1">
      <alignment vertical="top" wrapText="1"/>
    </xf>
    <xf numFmtId="0" fontId="35" fillId="0" borderId="65" xfId="0" applyFont="1" applyBorder="1" applyAlignment="1">
      <alignment horizontal="right" vertical="top" wrapText="1"/>
    </xf>
    <xf numFmtId="0" fontId="36" fillId="0" borderId="0" xfId="0" applyFont="1" applyFill="1" applyBorder="1" applyAlignment="1">
      <alignment vertical="top" wrapText="1"/>
    </xf>
    <xf numFmtId="43" fontId="7" fillId="0" borderId="0" xfId="0" applyNumberFormat="1" applyFont="1" applyFill="1"/>
    <xf numFmtId="0" fontId="47" fillId="0" borderId="0" xfId="0" applyFont="1" applyBorder="1" applyAlignment="1"/>
    <xf numFmtId="0" fontId="35" fillId="0" borderId="0" xfId="0" applyFont="1" applyBorder="1" applyAlignment="1"/>
    <xf numFmtId="38" fontId="44" fillId="0" borderId="29" xfId="0" applyNumberFormat="1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44" fillId="0" borderId="31" xfId="0" applyFont="1" applyBorder="1" applyAlignment="1">
      <alignment horizontal="center"/>
    </xf>
    <xf numFmtId="0" fontId="44" fillId="0" borderId="29" xfId="0" applyFont="1" applyBorder="1" applyAlignment="1">
      <alignment horizontal="center"/>
    </xf>
    <xf numFmtId="0" fontId="43" fillId="0" borderId="54" xfId="0" applyFont="1" applyBorder="1" applyAlignment="1">
      <alignment horizontal="center"/>
    </xf>
    <xf numFmtId="0" fontId="43" fillId="0" borderId="55" xfId="0" applyFont="1" applyBorder="1" applyAlignment="1">
      <alignment horizontal="center"/>
    </xf>
    <xf numFmtId="0" fontId="43" fillId="0" borderId="30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38" fontId="36" fillId="0" borderId="0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0" fontId="36" fillId="0" borderId="0" xfId="0" applyFont="1" applyBorder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38" fontId="36" fillId="0" borderId="0" xfId="0" applyNumberFormat="1" applyFont="1" applyFill="1" applyAlignment="1">
      <alignment horizontal="center"/>
    </xf>
    <xf numFmtId="38" fontId="48" fillId="10" borderId="0" xfId="0" applyNumberFormat="1" applyFont="1" applyFill="1" applyAlignment="1" applyProtection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38" fontId="48" fillId="5" borderId="0" xfId="0" applyNumberFormat="1" applyFont="1" applyFill="1" applyAlignment="1" applyProtection="1">
      <alignment horizontal="center" vertical="center" wrapText="1"/>
    </xf>
    <xf numFmtId="0" fontId="48" fillId="10" borderId="0" xfId="0" applyFont="1" applyFill="1" applyAlignment="1" applyProtection="1">
      <alignment horizontal="center" vertical="center" wrapText="1"/>
    </xf>
    <xf numFmtId="0" fontId="48" fillId="10" borderId="19" xfId="0" applyFont="1" applyFill="1" applyBorder="1" applyAlignment="1" applyProtection="1">
      <alignment horizontal="center" vertical="center"/>
    </xf>
    <xf numFmtId="0" fontId="36" fillId="5" borderId="19" xfId="0" applyFont="1" applyFill="1" applyBorder="1" applyAlignment="1">
      <alignment vertical="center"/>
    </xf>
    <xf numFmtId="49" fontId="48" fillId="4" borderId="6" xfId="0" applyNumberFormat="1" applyFont="1" applyFill="1" applyBorder="1" applyAlignment="1" applyProtection="1">
      <alignment horizontal="center" vertical="center" wrapText="1"/>
    </xf>
    <xf numFmtId="0" fontId="48" fillId="4" borderId="10" xfId="0" applyFont="1" applyFill="1" applyBorder="1" applyAlignment="1" applyProtection="1">
      <alignment horizontal="center" vertical="center" wrapText="1"/>
    </xf>
    <xf numFmtId="0" fontId="48" fillId="4" borderId="39" xfId="0" applyFont="1" applyFill="1" applyBorder="1" applyAlignment="1" applyProtection="1">
      <alignment horizontal="center" vertical="center" wrapText="1"/>
    </xf>
    <xf numFmtId="0" fontId="48" fillId="4" borderId="16" xfId="0" applyFont="1" applyFill="1" applyBorder="1" applyAlignment="1" applyProtection="1">
      <alignment horizontal="center" vertical="center" wrapText="1"/>
    </xf>
    <xf numFmtId="38" fontId="48" fillId="4" borderId="0" xfId="0" applyNumberFormat="1" applyFont="1" applyFill="1" applyAlignment="1" applyProtection="1">
      <alignment horizontal="center" vertical="center"/>
    </xf>
    <xf numFmtId="0" fontId="35" fillId="0" borderId="0" xfId="0" applyFont="1" applyAlignment="1">
      <alignment horizontal="center" vertical="center"/>
    </xf>
    <xf numFmtId="49" fontId="48" fillId="4" borderId="0" xfId="0" applyNumberFormat="1" applyFont="1" applyFill="1" applyAlignment="1" applyProtection="1">
      <alignment horizontal="center" vertical="center" wrapText="1"/>
    </xf>
    <xf numFmtId="0" fontId="50" fillId="5" borderId="19" xfId="0" applyFont="1" applyFill="1" applyBorder="1" applyAlignment="1">
      <alignment horizontal="center" wrapText="1"/>
    </xf>
    <xf numFmtId="0" fontId="36" fillId="5" borderId="19" xfId="0" applyFont="1" applyFill="1" applyBorder="1" applyAlignment="1">
      <alignment horizontal="center" wrapText="1"/>
    </xf>
    <xf numFmtId="0" fontId="48" fillId="4" borderId="39" xfId="4" applyNumberFormat="1" applyFont="1" applyFill="1" applyBorder="1" applyAlignment="1" applyProtection="1">
      <alignment horizontal="center" vertical="center"/>
    </xf>
    <xf numFmtId="0" fontId="14" fillId="0" borderId="53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16" xfId="0" applyBorder="1" applyAlignment="1">
      <alignment wrapText="1"/>
    </xf>
    <xf numFmtId="0" fontId="6" fillId="4" borderId="7" xfId="0" applyFont="1" applyFill="1" applyBorder="1" applyAlignment="1">
      <alignment horizontal="center" vertical="center" wrapText="1"/>
    </xf>
    <xf numFmtId="38" fontId="12" fillId="0" borderId="29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6" fillId="4" borderId="7" xfId="0" applyFont="1" applyFill="1" applyBorder="1" applyAlignment="1">
      <alignment horizontal="center" vertical="center" wrapText="1"/>
    </xf>
    <xf numFmtId="38" fontId="51" fillId="0" borderId="29" xfId="0" applyNumberFormat="1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29" xfId="0" applyFont="1" applyBorder="1" applyAlignment="1">
      <alignment horizontal="center"/>
    </xf>
    <xf numFmtId="168" fontId="36" fillId="0" borderId="20" xfId="0" applyNumberFormat="1" applyFont="1" applyFill="1" applyBorder="1" applyAlignment="1">
      <alignment textRotation="90" wrapText="1"/>
    </xf>
    <xf numFmtId="168" fontId="36" fillId="0" borderId="12" xfId="0" applyNumberFormat="1" applyFont="1" applyFill="1" applyBorder="1" applyAlignment="1">
      <alignment textRotation="90" wrapText="1"/>
    </xf>
    <xf numFmtId="168" fontId="36" fillId="0" borderId="17" xfId="0" applyNumberFormat="1" applyFont="1" applyFill="1" applyBorder="1" applyAlignment="1">
      <alignment textRotation="90" wrapText="1"/>
    </xf>
    <xf numFmtId="164" fontId="35" fillId="0" borderId="9" xfId="0" applyNumberFormat="1" applyFont="1" applyFill="1" applyBorder="1" applyAlignment="1">
      <alignment horizontal="right" wrapText="1"/>
    </xf>
    <xf numFmtId="0" fontId="35" fillId="0" borderId="9" xfId="0" applyFont="1" applyFill="1" applyBorder="1" applyAlignment="1">
      <alignment horizontal="right" wrapText="1"/>
    </xf>
    <xf numFmtId="0" fontId="36" fillId="0" borderId="6" xfId="0" applyFont="1" applyFill="1" applyBorder="1" applyAlignment="1">
      <alignment horizontal="left"/>
    </xf>
    <xf numFmtId="0" fontId="35" fillId="0" borderId="7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38" fontId="35" fillId="0" borderId="29" xfId="0" applyNumberFormat="1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6" fillId="0" borderId="30" xfId="0" applyFont="1" applyFill="1" applyBorder="1" applyAlignment="1">
      <alignment horizontal="center"/>
    </xf>
    <xf numFmtId="0" fontId="36" fillId="0" borderId="31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wrapText="1"/>
    </xf>
    <xf numFmtId="0" fontId="36" fillId="0" borderId="13" xfId="0" applyFont="1" applyFill="1" applyBorder="1" applyAlignment="1">
      <alignment wrapText="1"/>
    </xf>
    <xf numFmtId="0" fontId="36" fillId="0" borderId="14" xfId="0" applyFont="1" applyFill="1" applyBorder="1" applyAlignment="1">
      <alignment wrapText="1"/>
    </xf>
    <xf numFmtId="0" fontId="35" fillId="0" borderId="9" xfId="0" applyFont="1" applyFill="1" applyBorder="1" applyAlignment="1">
      <alignment wrapText="1"/>
    </xf>
    <xf numFmtId="0" fontId="35" fillId="0" borderId="29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38" fontId="35" fillId="0" borderId="29" xfId="0" applyNumberFormat="1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35" fillId="0" borderId="9" xfId="0" applyFont="1" applyBorder="1" applyAlignment="1">
      <alignment wrapText="1"/>
    </xf>
    <xf numFmtId="164" fontId="35" fillId="0" borderId="9" xfId="0" applyNumberFormat="1" applyFont="1" applyBorder="1" applyAlignment="1">
      <alignment horizontal="right" wrapText="1"/>
    </xf>
    <xf numFmtId="0" fontId="35" fillId="0" borderId="9" xfId="0" applyFont="1" applyBorder="1" applyAlignment="1">
      <alignment horizontal="right" wrapText="1"/>
    </xf>
    <xf numFmtId="0" fontId="36" fillId="0" borderId="6" xfId="0" applyFont="1" applyBorder="1" applyAlignment="1">
      <alignment horizontal="left"/>
    </xf>
    <xf numFmtId="0" fontId="35" fillId="4" borderId="40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53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16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8" fontId="35" fillId="8" borderId="20" xfId="0" applyNumberFormat="1" applyFont="1" applyFill="1" applyBorder="1" applyAlignment="1">
      <alignment textRotation="90" wrapText="1"/>
    </xf>
    <xf numFmtId="0" fontId="35" fillId="0" borderId="12" xfId="0" applyFont="1" applyBorder="1" applyAlignment="1">
      <alignment textRotation="90" wrapText="1"/>
    </xf>
    <xf numFmtId="0" fontId="35" fillId="0" borderId="17" xfId="0" applyFont="1" applyBorder="1" applyAlignment="1">
      <alignment textRotation="90" wrapText="1"/>
    </xf>
    <xf numFmtId="168" fontId="35" fillId="0" borderId="20" xfId="0" applyNumberFormat="1" applyFont="1" applyFill="1" applyBorder="1" applyAlignment="1">
      <alignment textRotation="90" wrapText="1"/>
    </xf>
    <xf numFmtId="168" fontId="35" fillId="0" borderId="12" xfId="0" applyNumberFormat="1" applyFont="1" applyFill="1" applyBorder="1" applyAlignment="1">
      <alignment textRotation="90" wrapText="1"/>
    </xf>
    <xf numFmtId="168" fontId="35" fillId="0" borderId="17" xfId="0" applyNumberFormat="1" applyFont="1" applyFill="1" applyBorder="1" applyAlignment="1">
      <alignment textRotation="90" wrapText="1"/>
    </xf>
    <xf numFmtId="0" fontId="35" fillId="0" borderId="4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justify"/>
    </xf>
    <xf numFmtId="0" fontId="36" fillId="0" borderId="14" xfId="0" applyFont="1" applyFill="1" applyBorder="1" applyAlignment="1"/>
    <xf numFmtId="0" fontId="35" fillId="0" borderId="39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top" wrapText="1"/>
    </xf>
    <xf numFmtId="0" fontId="36" fillId="0" borderId="19" xfId="0" applyFont="1" applyFill="1" applyBorder="1" applyAlignment="1"/>
    <xf numFmtId="0" fontId="55" fillId="0" borderId="6" xfId="0" applyFont="1" applyFill="1" applyBorder="1" applyAlignment="1">
      <alignment wrapText="1"/>
    </xf>
    <xf numFmtId="0" fontId="54" fillId="0" borderId="6" xfId="0" applyFont="1" applyFill="1" applyBorder="1" applyAlignment="1">
      <alignment wrapText="1"/>
    </xf>
    <xf numFmtId="0" fontId="54" fillId="0" borderId="29" xfId="0" applyFont="1" applyFill="1" applyBorder="1" applyAlignment="1">
      <alignment horizontal="center"/>
    </xf>
    <xf numFmtId="0" fontId="54" fillId="0" borderId="30" xfId="0" applyFont="1" applyFill="1" applyBorder="1" applyAlignment="1">
      <alignment horizontal="center"/>
    </xf>
    <xf numFmtId="0" fontId="54" fillId="0" borderId="31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 wrapText="1"/>
    </xf>
    <xf numFmtId="0" fontId="54" fillId="0" borderId="6" xfId="0" applyFont="1" applyFill="1" applyBorder="1" applyAlignment="1">
      <alignment horizontal="left"/>
    </xf>
    <xf numFmtId="38" fontId="54" fillId="0" borderId="29" xfId="0" applyNumberFormat="1" applyFont="1" applyFill="1" applyBorder="1" applyAlignment="1">
      <alignment horizontal="center"/>
    </xf>
    <xf numFmtId="0" fontId="54" fillId="0" borderId="39" xfId="0" applyFont="1" applyFill="1" applyBorder="1" applyAlignment="1">
      <alignment wrapText="1"/>
    </xf>
    <xf numFmtId="0" fontId="55" fillId="0" borderId="18" xfId="0" applyFont="1" applyFill="1" applyBorder="1" applyAlignment="1">
      <alignment wrapText="1"/>
    </xf>
    <xf numFmtId="0" fontId="55" fillId="0" borderId="14" xfId="0" applyFont="1" applyFill="1" applyBorder="1" applyAlignment="1">
      <alignment wrapText="1"/>
    </xf>
    <xf numFmtId="0" fontId="55" fillId="0" borderId="29" xfId="0" applyFont="1" applyFill="1" applyBorder="1" applyAlignment="1">
      <alignment horizontal="center"/>
    </xf>
    <xf numFmtId="0" fontId="55" fillId="0" borderId="30" xfId="0" applyFont="1" applyFill="1" applyBorder="1" applyAlignment="1">
      <alignment horizontal="center"/>
    </xf>
    <xf numFmtId="0" fontId="55" fillId="0" borderId="31" xfId="0" applyFont="1" applyFill="1" applyBorder="1" applyAlignment="1">
      <alignment horizontal="center"/>
    </xf>
    <xf numFmtId="0" fontId="54" fillId="0" borderId="39" xfId="0" applyFont="1" applyFill="1" applyBorder="1" applyAlignment="1">
      <alignment vertical="top" wrapText="1"/>
    </xf>
    <xf numFmtId="0" fontId="55" fillId="0" borderId="6" xfId="0" applyFont="1" applyFill="1" applyBorder="1" applyAlignment="1">
      <alignment horizontal="left"/>
    </xf>
    <xf numFmtId="0" fontId="54" fillId="0" borderId="4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46" xfId="0" applyFont="1" applyFill="1" applyBorder="1" applyAlignment="1">
      <alignment horizontal="center" vertical="center" wrapText="1"/>
    </xf>
    <xf numFmtId="0" fontId="54" fillId="0" borderId="47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/>
    <xf numFmtId="0" fontId="35" fillId="0" borderId="16" xfId="0" applyFont="1" applyFill="1" applyBorder="1" applyAlignment="1"/>
    <xf numFmtId="4" fontId="35" fillId="0" borderId="53" xfId="0" applyNumberFormat="1" applyFont="1" applyFill="1" applyBorder="1" applyAlignment="1">
      <alignment horizontal="center" vertical="center" wrapText="1"/>
    </xf>
    <xf numFmtId="0" fontId="36" fillId="0" borderId="53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4" fontId="35" fillId="0" borderId="53" xfId="0" applyNumberFormat="1" applyFont="1" applyFill="1" applyBorder="1" applyAlignment="1"/>
    <xf numFmtId="4" fontId="35" fillId="0" borderId="16" xfId="0" applyNumberFormat="1" applyFont="1" applyFill="1" applyBorder="1" applyAlignment="1"/>
    <xf numFmtId="0" fontId="36" fillId="0" borderId="53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4" fontId="35" fillId="0" borderId="53" xfId="1" applyNumberFormat="1" applyFont="1" applyFill="1" applyBorder="1" applyAlignment="1"/>
    <xf numFmtId="4" fontId="35" fillId="0" borderId="16" xfId="1" applyNumberFormat="1" applyFont="1" applyFill="1" applyBorder="1" applyAlignment="1"/>
    <xf numFmtId="0" fontId="36" fillId="0" borderId="39" xfId="0" applyFont="1" applyFill="1" applyBorder="1" applyAlignment="1">
      <alignment horizontal="center" vertical="center" wrapText="1"/>
    </xf>
    <xf numFmtId="43" fontId="35" fillId="0" borderId="7" xfId="1" applyNumberFormat="1" applyFont="1" applyFill="1" applyBorder="1" applyAlignment="1">
      <alignment horizontal="center" vertical="top" wrapText="1"/>
    </xf>
    <xf numFmtId="43" fontId="35" fillId="0" borderId="53" xfId="1" applyNumberFormat="1" applyFont="1" applyFill="1" applyBorder="1" applyAlignment="1">
      <alignment horizontal="right" vertical="top" wrapText="1"/>
    </xf>
    <xf numFmtId="43" fontId="35" fillId="0" borderId="16" xfId="1" applyNumberFormat="1" applyFont="1" applyFill="1" applyBorder="1" applyAlignment="1">
      <alignment horizontal="right" vertical="top" wrapText="1"/>
    </xf>
    <xf numFmtId="0" fontId="35" fillId="0" borderId="7" xfId="0" applyFont="1" applyFill="1" applyBorder="1" applyAlignment="1">
      <alignment horizontal="center" vertical="top" wrapText="1"/>
    </xf>
    <xf numFmtId="0" fontId="36" fillId="0" borderId="39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wrapText="1"/>
    </xf>
    <xf numFmtId="0" fontId="36" fillId="0" borderId="16" xfId="0" applyFont="1" applyFill="1" applyBorder="1" applyAlignment="1">
      <alignment horizontal="center" wrapText="1"/>
    </xf>
    <xf numFmtId="0" fontId="36" fillId="0" borderId="39" xfId="0" applyFont="1" applyFill="1" applyBorder="1" applyAlignment="1">
      <alignment horizontal="center" wrapText="1"/>
    </xf>
    <xf numFmtId="0" fontId="35" fillId="0" borderId="53" xfId="0" applyFont="1" applyFill="1" applyBorder="1" applyAlignment="1">
      <alignment vertical="top" wrapText="1"/>
    </xf>
    <xf numFmtId="0" fontId="35" fillId="0" borderId="39" xfId="0" applyFont="1" applyFill="1" applyBorder="1" applyAlignment="1">
      <alignment vertical="top" wrapText="1"/>
    </xf>
    <xf numFmtId="0" fontId="35" fillId="0" borderId="53" xfId="0" applyFont="1" applyFill="1" applyBorder="1" applyAlignment="1">
      <alignment horizontal="center" vertical="top" wrapText="1"/>
    </xf>
    <xf numFmtId="0" fontId="35" fillId="0" borderId="39" xfId="0" applyFont="1" applyFill="1" applyBorder="1" applyAlignment="1">
      <alignment horizontal="center" vertical="top" wrapText="1"/>
    </xf>
    <xf numFmtId="4" fontId="35" fillId="0" borderId="53" xfId="1" applyNumberFormat="1" applyFont="1" applyFill="1" applyBorder="1" applyAlignment="1">
      <alignment horizontal="right" vertical="center"/>
    </xf>
    <xf numFmtId="4" fontId="35" fillId="0" borderId="16" xfId="1" applyNumberFormat="1" applyFont="1" applyFill="1" applyBorder="1" applyAlignment="1">
      <alignment horizontal="right" vertical="center"/>
    </xf>
    <xf numFmtId="4" fontId="35" fillId="0" borderId="7" xfId="1" applyNumberFormat="1" applyFont="1" applyFill="1" applyBorder="1" applyAlignment="1"/>
    <xf numFmtId="4" fontId="35" fillId="0" borderId="53" xfId="1" applyNumberFormat="1" applyFont="1" applyFill="1" applyBorder="1" applyAlignment="1">
      <alignment horizontal="center"/>
    </xf>
    <xf numFmtId="4" fontId="35" fillId="0" borderId="16" xfId="1" applyNumberFormat="1" applyFont="1" applyFill="1" applyBorder="1" applyAlignment="1">
      <alignment horizontal="center"/>
    </xf>
    <xf numFmtId="4" fontId="35" fillId="0" borderId="53" xfId="1" applyNumberFormat="1" applyFont="1" applyFill="1" applyBorder="1" applyAlignment="1">
      <alignment horizontal="center" vertical="center"/>
    </xf>
    <xf numFmtId="4" fontId="35" fillId="0" borderId="16" xfId="1" applyNumberFormat="1" applyFont="1" applyFill="1" applyBorder="1" applyAlignment="1">
      <alignment horizontal="center" vertical="center"/>
    </xf>
    <xf numFmtId="39" fontId="35" fillId="0" borderId="53" xfId="0" applyNumberFormat="1" applyFont="1" applyFill="1" applyBorder="1" applyAlignment="1">
      <alignment horizontal="center"/>
    </xf>
    <xf numFmtId="39" fontId="35" fillId="0" borderId="39" xfId="0" applyNumberFormat="1" applyFont="1" applyFill="1" applyBorder="1" applyAlignment="1">
      <alignment horizontal="center"/>
    </xf>
    <xf numFmtId="39" fontId="35" fillId="0" borderId="16" xfId="0" applyNumberFormat="1" applyFont="1" applyFill="1" applyBorder="1" applyAlignment="1">
      <alignment horizontal="center"/>
    </xf>
    <xf numFmtId="4" fontId="35" fillId="0" borderId="7" xfId="0" applyNumberFormat="1" applyFont="1" applyFill="1" applyBorder="1" applyAlignment="1"/>
    <xf numFmtId="4" fontId="35" fillId="17" borderId="53" xfId="0" applyNumberFormat="1" applyFont="1" applyFill="1" applyBorder="1" applyAlignment="1">
      <alignment horizontal="center" wrapText="1"/>
    </xf>
    <xf numFmtId="4" fontId="35" fillId="17" borderId="16" xfId="0" applyNumberFormat="1" applyFont="1" applyFill="1" applyBorder="1" applyAlignment="1">
      <alignment horizontal="center" wrapText="1"/>
    </xf>
    <xf numFmtId="0" fontId="35" fillId="0" borderId="7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36" fillId="0" borderId="56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 wrapText="1"/>
    </xf>
    <xf numFmtId="4" fontId="35" fillId="0" borderId="7" xfId="1" applyNumberFormat="1" applyFont="1" applyFill="1" applyBorder="1" applyAlignment="1">
      <alignment horizontal="center" vertical="top" wrapText="1"/>
    </xf>
    <xf numFmtId="8" fontId="35" fillId="0" borderId="21" xfId="0" applyNumberFormat="1" applyFont="1" applyFill="1" applyBorder="1" applyAlignment="1">
      <alignment horizontal="right"/>
    </xf>
    <xf numFmtId="0" fontId="41" fillId="0" borderId="58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left" vertical="center"/>
    </xf>
    <xf numFmtId="37" fontId="35" fillId="0" borderId="53" xfId="0" applyNumberFormat="1" applyFont="1" applyFill="1" applyBorder="1" applyAlignment="1">
      <alignment horizontal="center" vertical="center"/>
    </xf>
    <xf numFmtId="37" fontId="35" fillId="0" borderId="39" xfId="0" applyNumberFormat="1" applyFont="1" applyFill="1" applyBorder="1" applyAlignment="1">
      <alignment horizontal="center" vertical="center"/>
    </xf>
    <xf numFmtId="37" fontId="35" fillId="0" borderId="16" xfId="0" applyNumberFormat="1" applyFont="1" applyFill="1" applyBorder="1" applyAlignment="1">
      <alignment horizontal="center" vertical="center"/>
    </xf>
    <xf numFmtId="37" fontId="36" fillId="0" borderId="53" xfId="0" applyNumberFormat="1" applyFont="1" applyFill="1" applyBorder="1" applyAlignment="1">
      <alignment horizontal="center"/>
    </xf>
    <xf numFmtId="37" fontId="36" fillId="0" borderId="16" xfId="0" applyNumberFormat="1" applyFont="1" applyFill="1" applyBorder="1" applyAlignment="1">
      <alignment horizontal="center"/>
    </xf>
    <xf numFmtId="37" fontId="35" fillId="0" borderId="53" xfId="0" applyNumberFormat="1" applyFont="1" applyFill="1" applyBorder="1" applyAlignment="1">
      <alignment horizontal="center"/>
    </xf>
    <xf numFmtId="37" fontId="35" fillId="0" borderId="39" xfId="0" applyNumberFormat="1" applyFont="1" applyFill="1" applyBorder="1" applyAlignment="1">
      <alignment horizontal="center"/>
    </xf>
    <xf numFmtId="37" fontId="35" fillId="0" borderId="16" xfId="0" applyNumberFormat="1" applyFont="1" applyFill="1" applyBorder="1" applyAlignment="1">
      <alignment horizontal="center"/>
    </xf>
    <xf numFmtId="4" fontId="35" fillId="0" borderId="39" xfId="1" applyNumberFormat="1" applyFont="1" applyFill="1" applyBorder="1" applyAlignment="1">
      <alignment horizontal="center" vertical="center"/>
    </xf>
    <xf numFmtId="4" fontId="36" fillId="17" borderId="53" xfId="0" applyNumberFormat="1" applyFont="1" applyFill="1" applyBorder="1" applyAlignment="1">
      <alignment horizontal="center"/>
    </xf>
    <xf numFmtId="4" fontId="36" fillId="17" borderId="39" xfId="0" applyNumberFormat="1" applyFont="1" applyFill="1" applyBorder="1" applyAlignment="1">
      <alignment horizontal="center"/>
    </xf>
    <xf numFmtId="4" fontId="35" fillId="0" borderId="53" xfId="1" applyNumberFormat="1" applyFont="1" applyFill="1" applyBorder="1" applyAlignment="1">
      <alignment horizontal="center" vertical="center" wrapText="1"/>
    </xf>
    <xf numFmtId="4" fontId="35" fillId="0" borderId="16" xfId="1" applyNumberFormat="1" applyFont="1" applyFill="1" applyBorder="1" applyAlignment="1">
      <alignment horizontal="center" vertical="center" wrapText="1"/>
    </xf>
    <xf numFmtId="38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3" fontId="56" fillId="0" borderId="53" xfId="0" applyNumberFormat="1" applyFont="1" applyFill="1" applyBorder="1" applyAlignment="1">
      <alignment horizontal="center" vertical="top" wrapText="1"/>
    </xf>
    <xf numFmtId="43" fontId="56" fillId="0" borderId="16" xfId="0" applyNumberFormat="1" applyFont="1" applyFill="1" applyBorder="1" applyAlignment="1">
      <alignment horizontal="center" vertical="top" wrapText="1"/>
    </xf>
    <xf numFmtId="0" fontId="35" fillId="4" borderId="20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wrapText="1"/>
    </xf>
    <xf numFmtId="0" fontId="35" fillId="0" borderId="12" xfId="0" applyFont="1" applyFill="1" applyBorder="1" applyAlignment="1">
      <alignment horizontal="center" wrapText="1"/>
    </xf>
    <xf numFmtId="38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5" fillId="4" borderId="39" xfId="0" applyFont="1" applyFill="1" applyBorder="1" applyAlignment="1">
      <alignment wrapText="1"/>
    </xf>
    <xf numFmtId="0" fontId="35" fillId="4" borderId="16" xfId="0" applyFont="1" applyFill="1" applyBorder="1" applyAlignment="1">
      <alignment wrapText="1"/>
    </xf>
    <xf numFmtId="0" fontId="35" fillId="4" borderId="46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 wrapText="1"/>
    </xf>
    <xf numFmtId="0" fontId="35" fillId="4" borderId="47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38" fontId="46" fillId="0" borderId="29" xfId="0" applyNumberFormat="1" applyFont="1" applyFill="1" applyBorder="1" applyAlignment="1">
      <alignment horizontal="center"/>
    </xf>
    <xf numFmtId="0" fontId="46" fillId="0" borderId="31" xfId="0" applyFont="1" applyFill="1" applyBorder="1" applyAlignment="1">
      <alignment horizontal="center"/>
    </xf>
    <xf numFmtId="0" fontId="46" fillId="0" borderId="29" xfId="0" applyFont="1" applyFill="1" applyBorder="1" applyAlignment="1">
      <alignment horizontal="center"/>
    </xf>
    <xf numFmtId="0" fontId="51" fillId="0" borderId="6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left"/>
    </xf>
    <xf numFmtId="0" fontId="51" fillId="0" borderId="29" xfId="0" applyFont="1" applyFill="1" applyBorder="1" applyAlignment="1">
      <alignment horizontal="center"/>
    </xf>
    <xf numFmtId="0" fontId="51" fillId="0" borderId="31" xfId="0" applyFont="1" applyFill="1" applyBorder="1" applyAlignment="1">
      <alignment horizontal="center"/>
    </xf>
    <xf numFmtId="0" fontId="46" fillId="0" borderId="29" xfId="0" applyFont="1" applyBorder="1" applyAlignment="1">
      <alignment horizontal="center"/>
    </xf>
    <xf numFmtId="0" fontId="46" fillId="0" borderId="31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38" fontId="46" fillId="0" borderId="29" xfId="0" applyNumberFormat="1" applyFont="1" applyBorder="1" applyAlignment="1">
      <alignment horizontal="center"/>
    </xf>
    <xf numFmtId="0" fontId="46" fillId="0" borderId="0" xfId="0" applyFont="1" applyBorder="1" applyAlignment="1">
      <alignment horizontal="justify" wrapText="1"/>
    </xf>
    <xf numFmtId="164" fontId="46" fillId="0" borderId="0" xfId="0" applyNumberFormat="1" applyFont="1" applyBorder="1" applyAlignment="1">
      <alignment horizontal="right" wrapText="1"/>
    </xf>
    <xf numFmtId="0" fontId="46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justify" wrapText="1"/>
    </xf>
    <xf numFmtId="38" fontId="46" fillId="0" borderId="0" xfId="0" applyNumberFormat="1" applyFont="1" applyFill="1" applyAlignment="1">
      <alignment horizontal="center" wrapText="1"/>
    </xf>
    <xf numFmtId="0" fontId="51" fillId="0" borderId="0" xfId="0" applyFont="1" applyFill="1" applyAlignment="1">
      <alignment horizontal="center" wrapText="1"/>
    </xf>
    <xf numFmtId="0" fontId="36" fillId="12" borderId="60" xfId="0" applyFont="1" applyFill="1" applyBorder="1" applyAlignment="1">
      <alignment vertical="top" wrapText="1"/>
    </xf>
    <xf numFmtId="0" fontId="36" fillId="12" borderId="44" xfId="0" applyFont="1" applyFill="1" applyBorder="1" applyAlignment="1">
      <alignment vertical="top" wrapText="1"/>
    </xf>
    <xf numFmtId="0" fontId="36" fillId="12" borderId="45" xfId="0" applyFont="1" applyFill="1" applyBorder="1" applyAlignment="1">
      <alignment vertical="top" wrapText="1"/>
    </xf>
    <xf numFmtId="0" fontId="35" fillId="0" borderId="60" xfId="0" applyFont="1" applyBorder="1" applyAlignment="1">
      <alignment horizontal="center" vertical="top" wrapText="1"/>
    </xf>
    <xf numFmtId="0" fontId="35" fillId="0" borderId="44" xfId="0" applyFont="1" applyBorder="1" applyAlignment="1">
      <alignment horizontal="center" vertical="top" wrapText="1"/>
    </xf>
    <xf numFmtId="0" fontId="35" fillId="0" borderId="45" xfId="0" applyFont="1" applyBorder="1" applyAlignment="1">
      <alignment horizontal="center" vertical="top" wrapText="1"/>
    </xf>
    <xf numFmtId="0" fontId="36" fillId="12" borderId="60" xfId="0" applyFont="1" applyFill="1" applyBorder="1" applyAlignment="1">
      <alignment horizontal="center" vertical="top" wrapText="1"/>
    </xf>
    <xf numFmtId="0" fontId="36" fillId="12" borderId="44" xfId="0" applyFont="1" applyFill="1" applyBorder="1" applyAlignment="1">
      <alignment horizontal="center" vertical="top" wrapText="1"/>
    </xf>
    <xf numFmtId="0" fontId="36" fillId="12" borderId="45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36" fillId="12" borderId="48" xfId="0" applyFont="1" applyFill="1" applyBorder="1" applyAlignment="1">
      <alignment horizontal="center" vertical="top" wrapText="1"/>
    </xf>
    <xf numFmtId="0" fontId="36" fillId="12" borderId="58" xfId="0" applyFont="1" applyFill="1" applyBorder="1" applyAlignment="1">
      <alignment horizontal="center" vertical="top" wrapText="1"/>
    </xf>
    <xf numFmtId="0" fontId="36" fillId="12" borderId="61" xfId="0" applyFont="1" applyFill="1" applyBorder="1" applyAlignment="1">
      <alignment horizontal="center" vertical="top" wrapText="1"/>
    </xf>
    <xf numFmtId="0" fontId="20" fillId="9" borderId="0" xfId="0" applyFont="1" applyFill="1" applyBorder="1" applyAlignment="1">
      <alignment horizontal="center" vertical="top" wrapText="1"/>
    </xf>
    <xf numFmtId="0" fontId="35" fillId="0" borderId="60" xfId="0" applyFont="1" applyBorder="1" applyAlignment="1">
      <alignment horizontal="justify" vertical="top" wrapText="1"/>
    </xf>
    <xf numFmtId="0" fontId="35" fillId="0" borderId="45" xfId="0" applyFont="1" applyBorder="1" applyAlignment="1">
      <alignment horizontal="justify" vertical="top" wrapText="1"/>
    </xf>
    <xf numFmtId="4" fontId="35" fillId="0" borderId="60" xfId="0" applyNumberFormat="1" applyFont="1" applyBorder="1" applyAlignment="1">
      <alignment horizontal="right" vertical="top" wrapText="1"/>
    </xf>
    <xf numFmtId="4" fontId="35" fillId="0" borderId="45" xfId="0" applyNumberFormat="1" applyFont="1" applyBorder="1" applyAlignment="1">
      <alignment horizontal="right" vertical="top" wrapText="1"/>
    </xf>
    <xf numFmtId="4" fontId="35" fillId="0" borderId="44" xfId="0" applyNumberFormat="1" applyFont="1" applyBorder="1" applyAlignment="1">
      <alignment horizontal="right" vertical="top" wrapText="1"/>
    </xf>
    <xf numFmtId="4" fontId="44" fillId="0" borderId="60" xfId="0" applyNumberFormat="1" applyFont="1" applyBorder="1" applyAlignment="1">
      <alignment horizontal="right" vertical="top" wrapText="1"/>
    </xf>
    <xf numFmtId="4" fontId="44" fillId="0" borderId="45" xfId="0" applyNumberFormat="1" applyFont="1" applyBorder="1" applyAlignment="1">
      <alignment horizontal="right" vertical="top" wrapText="1"/>
    </xf>
    <xf numFmtId="0" fontId="43" fillId="12" borderId="48" xfId="0" applyFont="1" applyFill="1" applyBorder="1" applyAlignment="1">
      <alignment horizontal="center" vertical="top" wrapText="1"/>
    </xf>
    <xf numFmtId="0" fontId="43" fillId="12" borderId="58" xfId="0" applyFont="1" applyFill="1" applyBorder="1" applyAlignment="1">
      <alignment horizontal="center" vertical="top" wrapText="1"/>
    </xf>
    <xf numFmtId="0" fontId="43" fillId="12" borderId="61" xfId="0" applyFont="1" applyFill="1" applyBorder="1" applyAlignment="1">
      <alignment horizontal="center" vertical="top" wrapText="1"/>
    </xf>
    <xf numFmtId="0" fontId="44" fillId="0" borderId="6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35" fillId="0" borderId="64" xfId="0" applyFont="1" applyBorder="1" applyAlignment="1">
      <alignment horizontal="center" vertical="top" wrapText="1"/>
    </xf>
    <xf numFmtId="0" fontId="55" fillId="0" borderId="62" xfId="0" applyFont="1" applyBorder="1" applyAlignment="1">
      <alignment horizontal="center" wrapText="1"/>
    </xf>
    <xf numFmtId="0" fontId="54" fillId="0" borderId="63" xfId="0" applyFont="1" applyBorder="1" applyAlignment="1">
      <alignment horizontal="center" wrapText="1"/>
    </xf>
    <xf numFmtId="0" fontId="54" fillId="0" borderId="42" xfId="0" applyFont="1" applyBorder="1" applyAlignment="1">
      <alignment horizontal="center" wrapText="1"/>
    </xf>
    <xf numFmtId="0" fontId="54" fillId="0" borderId="49" xfId="0" applyFont="1" applyBorder="1" applyAlignment="1">
      <alignment horizontal="center" wrapText="1"/>
    </xf>
    <xf numFmtId="0" fontId="54" fillId="0" borderId="21" xfId="0" applyFont="1" applyBorder="1" applyAlignment="1">
      <alignment horizontal="center" wrapText="1"/>
    </xf>
    <xf numFmtId="0" fontId="54" fillId="0" borderId="8" xfId="0" applyFont="1" applyBorder="1" applyAlignment="1">
      <alignment horizontal="center" wrapText="1"/>
    </xf>
    <xf numFmtId="0" fontId="55" fillId="0" borderId="63" xfId="0" applyFont="1" applyBorder="1" applyAlignment="1">
      <alignment horizontal="center" wrapText="1"/>
    </xf>
    <xf numFmtId="0" fontId="55" fillId="0" borderId="42" xfId="0" applyFont="1" applyBorder="1" applyAlignment="1">
      <alignment horizontal="center" wrapText="1"/>
    </xf>
    <xf numFmtId="0" fontId="55" fillId="0" borderId="50" xfId="0" applyFont="1" applyBorder="1" applyAlignment="1">
      <alignment horizontal="center" wrapText="1"/>
    </xf>
    <xf numFmtId="0" fontId="55" fillId="0" borderId="0" xfId="0" applyFont="1" applyBorder="1" applyAlignment="1">
      <alignment horizontal="center" wrapText="1"/>
    </xf>
    <xf numFmtId="0" fontId="55" fillId="0" borderId="43" xfId="0" applyFont="1" applyBorder="1" applyAlignment="1">
      <alignment horizontal="center" wrapText="1"/>
    </xf>
    <xf numFmtId="0" fontId="55" fillId="0" borderId="49" xfId="0" applyFont="1" applyBorder="1" applyAlignment="1">
      <alignment horizontal="center" wrapText="1"/>
    </xf>
    <xf numFmtId="0" fontId="55" fillId="0" borderId="21" xfId="0" applyFont="1" applyBorder="1" applyAlignment="1">
      <alignment horizontal="center" wrapText="1"/>
    </xf>
    <xf numFmtId="0" fontId="55" fillId="0" borderId="8" xfId="0" applyFont="1" applyBorder="1" applyAlignment="1">
      <alignment horizontal="center" wrapText="1"/>
    </xf>
    <xf numFmtId="0" fontId="36" fillId="4" borderId="60" xfId="0" applyFont="1" applyFill="1" applyBorder="1" applyAlignment="1">
      <alignment horizontal="center" wrapText="1"/>
    </xf>
    <xf numFmtId="0" fontId="36" fillId="4" borderId="45" xfId="0" applyFont="1" applyFill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58" xfId="0" applyFont="1" applyBorder="1" applyAlignment="1">
      <alignment horizontal="center" wrapText="1"/>
    </xf>
    <xf numFmtId="0" fontId="35" fillId="0" borderId="61" xfId="0" applyFont="1" applyBorder="1" applyAlignment="1">
      <alignment horizontal="center" wrapText="1"/>
    </xf>
    <xf numFmtId="0" fontId="54" fillId="0" borderId="48" xfId="0" applyFont="1" applyBorder="1" applyAlignment="1">
      <alignment horizontal="center" wrapText="1"/>
    </xf>
    <xf numFmtId="0" fontId="54" fillId="0" borderId="58" xfId="0" applyFont="1" applyBorder="1" applyAlignment="1">
      <alignment horizontal="center" wrapText="1"/>
    </xf>
    <xf numFmtId="0" fontId="54" fillId="0" borderId="61" xfId="0" applyFont="1" applyBorder="1" applyAlignment="1">
      <alignment horizontal="center" wrapText="1"/>
    </xf>
    <xf numFmtId="0" fontId="35" fillId="0" borderId="48" xfId="0" applyFont="1" applyBorder="1" applyAlignment="1">
      <alignment wrapText="1"/>
    </xf>
    <xf numFmtId="0" fontId="35" fillId="0" borderId="61" xfId="0" applyFont="1" applyBorder="1" applyAlignment="1">
      <alignment wrapText="1"/>
    </xf>
    <xf numFmtId="0" fontId="35" fillId="0" borderId="48" xfId="0" applyFont="1" applyFill="1" applyBorder="1" applyAlignment="1">
      <alignment wrapText="1"/>
    </xf>
    <xf numFmtId="0" fontId="35" fillId="0" borderId="61" xfId="0" applyFont="1" applyFill="1" applyBorder="1" applyAlignment="1">
      <alignment wrapText="1"/>
    </xf>
    <xf numFmtId="0" fontId="36" fillId="4" borderId="62" xfId="0" applyFont="1" applyFill="1" applyBorder="1" applyAlignment="1">
      <alignment horizontal="center" wrapText="1"/>
    </xf>
    <xf numFmtId="0" fontId="36" fillId="4" borderId="42" xfId="0" applyFont="1" applyFill="1" applyBorder="1" applyAlignment="1">
      <alignment horizontal="center" wrapText="1"/>
    </xf>
    <xf numFmtId="0" fontId="36" fillId="4" borderId="49" xfId="0" applyFont="1" applyFill="1" applyBorder="1" applyAlignment="1">
      <alignment horizontal="center" wrapText="1"/>
    </xf>
    <xf numFmtId="0" fontId="36" fillId="4" borderId="8" xfId="0" applyFont="1" applyFill="1" applyBorder="1" applyAlignment="1">
      <alignment horizontal="center" wrapText="1"/>
    </xf>
    <xf numFmtId="0" fontId="36" fillId="4" borderId="48" xfId="0" applyFont="1" applyFill="1" applyBorder="1" applyAlignment="1">
      <alignment horizontal="center" wrapText="1"/>
    </xf>
    <xf numFmtId="0" fontId="36" fillId="4" borderId="58" xfId="0" applyFont="1" applyFill="1" applyBorder="1" applyAlignment="1">
      <alignment horizontal="center" wrapText="1"/>
    </xf>
    <xf numFmtId="0" fontId="36" fillId="4" borderId="61" xfId="0" applyFont="1" applyFill="1" applyBorder="1" applyAlignment="1">
      <alignment horizontal="center" wrapText="1"/>
    </xf>
  </cellXfs>
  <cellStyles count="5">
    <cellStyle name="Moeda" xfId="1" builtinId="4"/>
    <cellStyle name="Normal" xfId="0" builtinId="0"/>
    <cellStyle name="Normal 6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103186</xdr:rowOff>
    </xdr:from>
    <xdr:to>
      <xdr:col>7</xdr:col>
      <xdr:colOff>7938</xdr:colOff>
      <xdr:row>25</xdr:row>
      <xdr:rowOff>103186</xdr:rowOff>
    </xdr:to>
    <xdr:sp macro="" textlink="">
      <xdr:nvSpPr>
        <xdr:cNvPr id="7169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0" y="2905124"/>
          <a:ext cx="9707563" cy="49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Os parâmetros acima foram utilizados para as projeções de receitas e despesas, bem como para os cálculos em valores correntes e constantes, de acordo com sua pertinência, ou não com as origem/espécia/rubrica de receita e/ou grupo de natureza de despesa.</a:t>
          </a:r>
        </a:p>
      </xdr:txBody>
    </xdr:sp>
    <xdr:clientData/>
  </xdr:twoCellAnchor>
  <xdr:twoCellAnchor>
    <xdr:from>
      <xdr:col>6</xdr:col>
      <xdr:colOff>371475</xdr:colOff>
      <xdr:row>26</xdr:row>
      <xdr:rowOff>0</xdr:rowOff>
    </xdr:from>
    <xdr:to>
      <xdr:col>6</xdr:col>
      <xdr:colOff>381000</xdr:colOff>
      <xdr:row>26</xdr:row>
      <xdr:rowOff>0</xdr:rowOff>
    </xdr:to>
    <xdr:sp macro="" textlink="">
      <xdr:nvSpPr>
        <xdr:cNvPr id="8042" name="Line 8"/>
        <xdr:cNvSpPr>
          <a:spLocks noChangeShapeType="1"/>
        </xdr:cNvSpPr>
      </xdr:nvSpPr>
      <xdr:spPr bwMode="auto">
        <a:xfrm flipH="1">
          <a:off x="9067800" y="34861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25</xdr:row>
      <xdr:rowOff>57151</xdr:rowOff>
    </xdr:from>
    <xdr:to>
      <xdr:col>7</xdr:col>
      <xdr:colOff>497416</xdr:colOff>
      <xdr:row>37</xdr:row>
      <xdr:rowOff>105835</xdr:rowOff>
    </xdr:to>
    <xdr:sp macro="" textlink="">
      <xdr:nvSpPr>
        <xdr:cNvPr id="4097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42874" y="5052484"/>
          <a:ext cx="7477125" cy="19536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Esse demonstrativo tem por objetivo mensurar os tributos que serão objeto de renúncia fiscal de receita, identificando seus valores nos exercícios que compreenderão o triênio a partir da vigência da LDO e estabelecendo ainda as medidas de compensação que serão adotadas, visando a dar cumprimento ao disposto no art. 4º, § 2º, inciso V da LRF.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Conforme os arts. 13, 54 e 55 do Projeto de Lei das Diretrizes Orçamentárias, a estimativa de renúncia de receita deverá estar inserida na metodologia de cálculo da projeção da arrecadação efetiva dos tributos municipais. 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Dessa forma, fica observado o atendimento do disposto no art. 14, I, da LRF, o qual determina que a renúncia deve ser considerada na estimativa de receita da lei orçamentária e de que não afetará as metas de resultados fiscais. 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Consequentemente, as renúncias contempladas nesse demonstrativo não precisarão ser compensadas, pois a compensação já estará ocorrendo no âmbito do processo orçamentário de estimativa das respectivas receitas.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205316</xdr:colOff>
      <xdr:row>23</xdr:row>
      <xdr:rowOff>62443</xdr:rowOff>
    </xdr:from>
    <xdr:to>
      <xdr:col>6</xdr:col>
      <xdr:colOff>253999</xdr:colOff>
      <xdr:row>39</xdr:row>
      <xdr:rowOff>116419</xdr:rowOff>
    </xdr:to>
    <xdr:sp macro="" textlink="">
      <xdr:nvSpPr>
        <xdr:cNvPr id="12289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5316" y="4613276"/>
          <a:ext cx="9383183" cy="25939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A Demonstração da margem de expansão das despesas obrigatórias de caráter continuado visa a assegurar que não haverá criação de nova despesa sem a correspondente fonte de financiamento. 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Em outras palavras, o demonstrativo identifica o aumento permanente de receita para suportar o aumento permanente da despesa de caráter continuado, assim entendida aquela derivada de lei, contrato, ou ato normativo que fixe a obrigatoriedade de execução por um período superior a dois exercícios, cumprindo, dessa forma, a disposição contida no art. 4º, § 2º, inciso V da LRF.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Desse modo, para estimar o aumento permanente das receitas em 2019 considerou-se o incremento real, ou seja, a diferença entre os valores estimados a preços constantes das receitas  trbutárias e de transferências correntes, no biênio 2018-2019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Na mesma linha, o aumento permandente das despesas de caráter obrigatório que terão impacto em 20198, foi calculado pela diferença a valores constantes, observada no biênio 2018-2019 nos grupos de natureza de despesa "Pessoal" e "Outras Despesas Correntes", chegando-se, assim, ao saldo da margem líquida de expansão.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Caso necessário, a  Margem Líquida de Expansão acima demonstrada, será utilizada, pelo Poder Executivo, como forma de compensação do aumento das despesas obrigatórias de caráter continuado não previstas no orçamento, observado o disposto no art. 17 da LDO.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21</xdr:row>
      <xdr:rowOff>152400</xdr:rowOff>
    </xdr:from>
    <xdr:to>
      <xdr:col>1</xdr:col>
      <xdr:colOff>2657475</xdr:colOff>
      <xdr:row>26</xdr:row>
      <xdr:rowOff>133350</xdr:rowOff>
    </xdr:to>
    <xdr:sp macro="" textlink="">
      <xdr:nvSpPr>
        <xdr:cNvPr id="8193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52425" y="3324225"/>
          <a:ext cx="5038725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Declaramos para os devidos fins, que a expansão das despesas obrigatórias de caráter continuado, no exercício financeiro de 2018, adequar-se-ão às receitas do Município.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25</xdr:row>
      <xdr:rowOff>85726</xdr:rowOff>
    </xdr:from>
    <xdr:to>
      <xdr:col>4</xdr:col>
      <xdr:colOff>9525</xdr:colOff>
      <xdr:row>30</xdr:row>
      <xdr:rowOff>133350</xdr:rowOff>
    </xdr:to>
    <xdr:sp macro="" textlink="">
      <xdr:nvSpPr>
        <xdr:cNvPr id="15362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19075" y="5153026"/>
          <a:ext cx="6934200" cy="857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 Anexo de Riscos fiscais tem por objetivo especificar eventuais riscos que possam impactar negativamente nas contas públicas, indicando de forma preventiva as providências a serem tomadas caso as situaçãoes acima descritas venham a ocorrer, cumprindo desta forma o disposto no art. 4º, § 3º da LRF.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140759</xdr:rowOff>
    </xdr:from>
    <xdr:to>
      <xdr:col>6</xdr:col>
      <xdr:colOff>40217</xdr:colOff>
      <xdr:row>35</xdr:row>
      <xdr:rowOff>113503</xdr:rowOff>
    </xdr:to>
    <xdr:sp macro="" textlink="">
      <xdr:nvSpPr>
        <xdr:cNvPr id="9327" name="Rectangle 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23825" y="5263092"/>
          <a:ext cx="8562975" cy="14544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/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Dívida Pública Consolidada – É o montante total apurado:</a:t>
          </a: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das obrigações financeiras do Município, inclusive as decorrentes de emissão de títulos, assumidas em virtude de leis, contratos, convênios ou tratados;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das obrigações financeiras doMunicípio, assumidas em virtude da realização de operações de crédito para amortização em prazo superior a doze meses ou que, embora de prazo inferior a doze meses, tenham constado como receitas no orçamento;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dos precatórios judiciais emitidos a partir de 5 de maio de 2000 e não pagos durante a execução do orçamento em que houverem sido incluídos.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Dívida Consolidada Líquida – DCL –</a:t>
          </a: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Corresponde à dívida pública consolidada menos as deduções, que compreendem o ativo disponível e os haveres financeiros, líquidos dos Restos a Pagar Processados.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23</xdr:row>
      <xdr:rowOff>19050</xdr:rowOff>
    </xdr:from>
    <xdr:to>
      <xdr:col>12</xdr:col>
      <xdr:colOff>457200</xdr:colOff>
      <xdr:row>80</xdr:row>
      <xdr:rowOff>152400</xdr:rowOff>
    </xdr:to>
    <xdr:sp macro="" textlink="">
      <xdr:nvSpPr>
        <xdr:cNvPr id="1156" name="Rectangle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47650" y="3943350"/>
          <a:ext cx="11249025" cy="936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 Demonstrativo de Metas Anuais objetiva estabelecer as metas para o triênio compreendendo o ano de vigência da LDO e os dois subsequentes, abrangendo a Receita e Despesa Total, Receitas Não Financeiras, Despesas Não Financeiras, Resultado Primário, Resultado Nominal e Dívida Pública, visando atender a disposição contida no art. 4º, § 1º da LRF.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Para melhor entendimento, cabem aqui os seguintes conceitos: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 – as receitas primárias correspondem às receitas fiscais líquidas, resultantes do somatório das receitas correntes e de capital, excluídas as receitas de aplicações financeiras (juros de títulos de renda, remuneração de depósitos e outras receitas de valores mobiliários), operações de crédito, amortização de empréstimos e alienação de investimentos permenentes e temporários;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 – as despesas primárias correspondem ao total da despesa orçamentária deduzidas as despesas com juros e amortização da dívida, aquisição de títulos de capital integralizado e as despesas com concessão de empréstimos com retorno garantido. 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 – o resultado primário ACIMA DA LINHA corresponde à diferença entre as receitas primárias e despesas primárias evidenciando o esforço fiscal do Município;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4 – o resultado nominal calculado pelo critério ACIMA DA LINHA foi obtido a partir do resultado primário somado ao resultado da comperação entre  os juros ativos e passivos, representado a diferença entre o saldo previsto da dívida fiscal líquida em 31 de dezembro de determinado ano em relação ao apurado em 31 de dezembro do ano anterior; 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5 – a dívida pública consolidada é o montante apurado das obrigações financeiras do ente da Federação, inclusive as decorrentes de emissão de títulos, assumidas em virtude de leis, contratos, convênios ou tratados; as assumidas em virtude da realização de operações de crédito para amortização em prazo superior a doze meses ou que, embora de prazo inferior a doze meses, tenham constado como receitas no orçamento; dos precatórios judiciais emitidos a partir de 5 de maio de 2000 e não pagos durante a execução do orçamento em que houverem sido incluídos;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6 – a dívida Consolidada Líquida – DCL - corresponde à dívida pública consolidada, deduzidos os valores que compreendem o ativo disponível e os haveres financeiros, líquidos dos Restos a Pagar Processados.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Premissas e Metodologia Utilizadas:</a:t>
          </a:r>
          <a:endParaRPr lang="pt-BR" sz="11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Os parâmetros macroeconômicos utilizados na elaboração das estimativas constantes no Anexo de Metas Fiscais são relacionados na </a:t>
          </a: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Tabela 01.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Os números estão apresentados de duas formas. Em moeda corrente e em valores constantes (sem inflação). Esses indicadores foram utilizados na composição da estimativa de receita que considerou a média de arrecadação, em cada fonte, tomando por base as receitas arrecadadas nos últimos três exercícios (2015, 2016 e 2017) e os valores reestimados para o exercício atual (2018), além das premissas consideradas como verdadeiras e relacionadas, por exemplo, ao índice de inflação, crescimento do PIB, atualização da planta de valores do IPTU, ampliação do perímetro urbano da cidade, políticas de combate à evasão e à sonegação fiscal, comportamento das receitas oriundas de transferências da União e do Estado, dentre outros.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Em relação às despesas correntes, foram considerados os parâmetros de inflação, crescimento vegetativo e aumento real, quando cabível, das despesas de custeios.  Em relação aos investimentos, além da inflação, considerou-se a estimativa de crescimento real dessas despesas em nível que viabilize a sua expansão a fim de garantir, precipuamente, a conclusão dos projetos em andamento demonstrados no </a:t>
          </a: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Anexo IV.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Asseguraram-se, ainda, os recursos para pagamento das obrigações decorrentes de juros e amortização da dívida pública.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 –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No tocante às despesas com pessoal, em específico, foi considerado o provável efeito da revisão geral anual prevista na Constituição da República, o crescimento vegetativo da folha salarial e eventual aumento acima dos níveis inflacionários.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4 -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Considera-se o PIB e o IPCA como as principais variáveis para explicar o crescimento nominal das receitas, visto que boa parte das receitas tributárias e não tributárias, bem como as transferências constitucionais e legais acompanham o ritmo das atividades econômicas de âmbito nacional. Assim, para os exercícios de 2019, 2020 e 2021, considerou-se um crescimento do Produto Interno Bruto nacional de 3,01%, 2,68% e 2,64% e das taxas de inflação (IPCA), de 4,07 %,  4,02% e 3,94 %, respectivamente, cujas projeções decorrem do sistema de expectativa de mercado, segundo informações do sítio do Banco Central do Brasil.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5 -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Outro ponto importante a ser destacado é que a receita do Município, conforme estabelece o § 3º, do art. 1º da Lei Complementar nº 101/00, compreende as receitas de todos os órgãos da Administração Pública Municipal, inclusive as receitas intraorçamentárias.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6 -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Em relação ao cálculo do Resultado Primário e do Resultado Nominal, considerou a metodologia estabelecida na Portaria STN nº 495/2017 e suas alterações. Os resultados primários previstos para os três exercícios são considerados suficientes para manutenção do equilíbrio fiscal. Cabe ponderar que, nos termos do art. 2º da LDO, o resultado primário poderá ser revisto por ocasião da elaboração da Lei Orçamentária Anual ou durante o exercício de 2019. O resultado nominal reflete a variação do endividamento fiscal líquido entre as datas referidas.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7 -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Na estimativa do montante da dívida consolidada para 2019, 2020 e 2021, utilizou-se, como parâmetros a previsão da média anual para a taxa de juros SELIC,  de 7,31%,  8,09% e  8,08%, segundo informações do sítio do Banco Central do Brasil.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8 -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Já na apuração do montante da dívida líquida, os valores das Disponibilidades Financeiras foram calculados levando-se em consideração a estimativa da posição em 31/12/2018, projetando-se os valores futuros com base nos percentuais médios dos valores realizados no ano anterior.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9 -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Isso posto, podemos elencar, a partir da leitura das projeções estabelecidas para o ano de referência da LDO (2019), os números mais representativos no contexto das projeções: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9.1 -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A receita total estimada para o exercício de 2019, consideradas todas as fontes de recursos é de R$  </a:t>
          </a:r>
          <a:r>
            <a:rPr lang="pt-BR" sz="10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        85.289.822,27 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 preços correntes que, deduzidas das receitas financeiras, representadas pelos Rendimentos das Aplicações Financeiras, das resultantes de Operações de Crédito, das Alienações de Investimentos e das resultantes de Amortização de Empréstimos Concedidos resultam numa Receita Primária de R$ </a:t>
          </a:r>
          <a:r>
            <a:rPr lang="pt-BR" sz="10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77.382.606,48. 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9.2 -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As despesas do Município foram programadas segundo o comportamento previsto da receita, sendo que o maior objetivo é manter, ou ainda, ampliar a capacidade própria de investimentos, sem comprometer o equilíbrio financeiro. Assim, consideradas todas as fontes de recursos, a despesa total está prevista em R$ </a:t>
          </a:r>
          <a:r>
            <a:rPr lang="pt-BR" sz="1000" b="1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t-BR" sz="10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95.254.389,86 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 Deduzindo-se as despesas financeiras com juros e encargos da dívida, estimadas em R$ 201408,90 e a Amortização da Dívida Publica, estimada em R$ 2.446.584,92, tem-se que as despesas primárias para 2019 foram previstas em R$ </a:t>
          </a:r>
          <a:r>
            <a:rPr lang="pt-BR" sz="10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92.606.396,04.</a:t>
          </a:r>
          <a:endParaRPr lang="pt-BR" sz="11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9.3 -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Cotejando-se o valor previsto para as receitas e despesas primárias em valores correntes, chega-se à meta de resultado primário de 2019 que foi inicialmente prevista em R$ </a:t>
          </a:r>
          <a:r>
            <a:rPr lang="pt-BR" sz="10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-   15.223.789,56 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 qual entendemos como necessária e suficiente para preservar o equilíbrio nas contas públicas. No entanto, ressaltamos que, a depender do comportamento das variáveis macroeconômicas, ou na hipótese de frustração de arrecadação, a meta poderá ser alterada, conforme expressa previsão do art. 2º da LDO. O detalhamento do cálculo do Resultado Primário e nominal pelo Critério </a:t>
          </a: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ACIMA DA LINHA é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evidenciado na </a:t>
          </a: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Tabela 02.</a:t>
          </a:r>
          <a:endParaRPr lang="pt-BR" sz="11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10 -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Em relação ao estoque da dívida, esse corresponde à posição em dezembro de cada exercício, considerando a previsão das amortizações e das liberações a serem realizadas no respectivo período, estando os valores evidenciados na </a:t>
          </a:r>
          <a:r>
            <a:rPr lang="pt-BR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Tabela 03.</a:t>
          </a:r>
          <a:endParaRPr lang="pt-BR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152400</xdr:rowOff>
    </xdr:from>
    <xdr:to>
      <xdr:col>8</xdr:col>
      <xdr:colOff>532342</xdr:colOff>
      <xdr:row>21</xdr:row>
      <xdr:rowOff>148167</xdr:rowOff>
    </xdr:to>
    <xdr:sp macro="" textlink="">
      <xdr:nvSpPr>
        <xdr:cNvPr id="5121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0025" y="3412067"/>
          <a:ext cx="8629650" cy="726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Este demonstrativo foi elaborado pelo Poder Executivo Municipal para fins de dar maior transparência à meta de Resultado Primário, possibilitando o acompanhamento individualizado do resultado primário do Tesouro Municipal e do  Regime Próprio de Previdência, bem como auxiliar na avaliação do cumprimento das metas fiscais. A metodologia e os conceitos são idênticos aos utilizados para a elaboração do anexo de metas fiscais  (consolidado).</a:t>
          </a:r>
        </a:p>
        <a:p>
          <a:pPr algn="l" rtl="0">
            <a:lnSpc>
              <a:spcPts val="10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152401</xdr:rowOff>
    </xdr:from>
    <xdr:to>
      <xdr:col>9</xdr:col>
      <xdr:colOff>238125</xdr:colOff>
      <xdr:row>46</xdr:row>
      <xdr:rowOff>76200</xdr:rowOff>
    </xdr:to>
    <xdr:sp macro="" textlink="">
      <xdr:nvSpPr>
        <xdr:cNvPr id="2178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85725" y="3733801"/>
          <a:ext cx="8343900" cy="42957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 objetivo deste demonstrativo é estabelecer uma comparação entre as metas fixadas e o resultado obtido no exercício anterior ao da edição da LDO (2017), incluindo análise dos fatores determinantes para o alcance ou não dos valores estabelecidos como metas, visando a atender o disposto no art. 4º, § 2º, inciso I da LRF.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Assim, conforme demonstrado em audiência pública de avaliação das metas fiscais relativas ao terceiro quadrimestre do exercício financeiro de 2017 (art. 9º, § 4º da LRF), o resultado primário, principal indicador de sustentabilidade fiscal do setor público, ficou em R$ </a:t>
          </a:r>
          <a:r>
            <a:rPr lang="pt-BR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10.184.011,66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, valor 13,60% superior à meta estabelecida, que era de R$ </a:t>
          </a:r>
          <a:r>
            <a:rPr lang="pt-BR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8.964.862,25 </a:t>
          </a: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 O desempenho verificado demonstra que o ingresso das receitas primárias (não financeiras)  foi capaz de suportar o total das despesas primárias (não financeiras) do exercício.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 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Em parte, esse resultado é em decorrência do desempenho favorável apresentado pela receita, tendo sido fortemente condicionado pelo comportamento das receitas correntes, que apresentaram um incremento de em relação ao valor consignado no orçamento. Destaca-se no exercício de 2017 o desempenho dos grupos de receita tributária, patrimonial e de transferências correntes, que superaram a expectativa.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19050</xdr:rowOff>
    </xdr:from>
    <xdr:to>
      <xdr:col>11</xdr:col>
      <xdr:colOff>304800</xdr:colOff>
      <xdr:row>42</xdr:row>
      <xdr:rowOff>123825</xdr:rowOff>
    </xdr:to>
    <xdr:sp macro="" textlink="">
      <xdr:nvSpPr>
        <xdr:cNvPr id="10241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66700" y="5429250"/>
          <a:ext cx="101060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Este demonstrativo tem por objetivo avaliar as metas previstas para o exercício da LDO (2018), em comparação com as estabelecidas para os três exercícios anteriores  (2015, 2016 e 2017), bem como para os dois seguintes (2019 e 2020), referentes à Receita Total, Receitas Não Financeiras, Despesas Não Financeiras, Resultado Primário, Resultado Nominal, Dívida Pública Consolidada e Dívida Consolidada Líquida, cumprindo, assim,  a disposição contida no art. 4º, § 2º, inciso II, da LRF.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Os valores relativos às previsões de Receitas, Despesas e Resultado Primário de 2015, 2016 e 2017 foram atualizados pelas respectivas Leis Orçamentárias Anuais. Já os valores da previsão do Resultado Nominal, Dívida Consolidada e Dívida Consolidada Líquida, foram extraídos dos anexos de metas fiscais das respectivas LDO.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Já em relação às previsões para os exercícios de 2018, 2019 e 2020, os valores, a metodologia, as premissas utilizadas e a respectiva memória de cálculo são as mesmas utilizadas para o estabelecimento das metas explicitadas no Demonstrativo de Metas Anuais, referido no art. 2º, inciso I, do Projeto de Lei de LDO, evidenciando, assim, a sua consistência.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30</xdr:row>
      <xdr:rowOff>1</xdr:rowOff>
    </xdr:from>
    <xdr:to>
      <xdr:col>6</xdr:col>
      <xdr:colOff>666750</xdr:colOff>
      <xdr:row>40</xdr:row>
      <xdr:rowOff>38101</xdr:rowOff>
    </xdr:to>
    <xdr:sp macro="" textlink="">
      <xdr:nvSpPr>
        <xdr:cNvPr id="3073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57175" y="6457951"/>
          <a:ext cx="6800850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 presente demonstrativo visa a demonstrar a evolução do Patrimônio Líquido nos três exercícios anteriores ao da edição da LDO (2015, 2016 e 2017), cumprindo, dessa forma, o disposto no art. 4º, § 2º, inciso III, da LRF.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Nesse sentido, é preciso enfatizar que o Município segue as normas da Lei 4.320/64, não apresentando no seu balanço as nomenclaturas previstas na Lei 6.404/76. Assim, em vez de "Resultado Acumulado", ou "Lucros ou Prejupizos Acumulados" o Município utiliza a nomenclatura de "Superávit ou Déficit do Exercício".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 Sistema de Previdência, por força da Lei Municipal, está sobre a gestão do </a:t>
          </a:r>
          <a:r>
            <a:rPr lang="pt-BR" sz="1000" b="0" i="0" baseline="0">
              <a:latin typeface="Times New Roman" pitchFamily="18" charset="0"/>
              <a:ea typeface="+mn-ea"/>
              <a:cs typeface="Times New Roman" pitchFamily="18" charset="0"/>
            </a:rPr>
            <a:t>Fundo de Previdência Social de Portão </a:t>
          </a: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sendo que seus registros contábeis estão em conformidade com as Normas do Ministério da Previdência Social e apartados das demais contas do Município.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27</xdr:row>
      <xdr:rowOff>161926</xdr:rowOff>
    </xdr:from>
    <xdr:to>
      <xdr:col>3</xdr:col>
      <xdr:colOff>990600</xdr:colOff>
      <xdr:row>34</xdr:row>
      <xdr:rowOff>95250</xdr:rowOff>
    </xdr:to>
    <xdr:sp macro="" textlink="">
      <xdr:nvSpPr>
        <xdr:cNvPr id="11265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0975" y="5876926"/>
          <a:ext cx="7043208" cy="119274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 demonstrativo acima tem por objetivo destacar as origens e as aplicações dos recursos obtidos, pelo Município, com a alienação de ativos, ocorridos nos 3 exercícios anteriores ao da edição da LDO  (2014,  2015 e 2016). 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Os dados apresentados permitem afirmar que o Município tem aplicado corretamente os recursos obtidos, na forma prescrita pelo art. 44 da Lei de Responsabilidade Fiscal que prescreve que "é vedada a aplicação da receita de capital derivada da alienação de bens e direitos que integram o patrimônio público para o financiamento de despesa corrente, salvo se destinada por lei aos regimes de previdência, geral e próprio dos servidores públicos."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144</xdr:row>
      <xdr:rowOff>123825</xdr:rowOff>
    </xdr:from>
    <xdr:to>
      <xdr:col>8</xdr:col>
      <xdr:colOff>342900</xdr:colOff>
      <xdr:row>160</xdr:row>
      <xdr:rowOff>133350</xdr:rowOff>
    </xdr:to>
    <xdr:sp macro="" textlink="">
      <xdr:nvSpPr>
        <xdr:cNvPr id="14337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0975" y="20697825"/>
          <a:ext cx="7705725" cy="2295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Este demonstrativo, visa a atender o estabelecido no art. 4°, § 2°, inciso IV, alínea “a”, da Lei de Responsabilidade Fiscal – LRF, o qual determina que o Anexo de Metas Fiscais conterá a avaliação da situação financeira e atuarial do Regime Próprio de Previdência dos Servidores – RPPS.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Os dados acima apresentados tem como base o Anexo 4 – Demonstrativo das Receitas e Despesas Previdenciárias do Regime Próprio de Previdência dos Servidores, publicado no Relatório Resumido de Execução Orçamentária – RREO do último bimestre dos exercícios financeiros de 2015, 2016 e 2017, respectivamente.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Já os resultados da avaliação atuarial foram apresentados conforme o Anexo 10 – Demonstrativo da Projeção Atuarial do Regime Próprio dos Servidores, publicado no RREO do último bimestre dos exercícios de 2017. 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Os valores informados na linha 'Bens e Direitos do RPPS", correspondem ao saldo das suas disponibilidades financeiras e investimentos, a foram obtidos a partir do Demonstrativo da Disponibilidade de Caixa, publicado no Relatório de Gestão Fiscal – RGF.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o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7"/>
  <dimension ref="A1:J26"/>
  <sheetViews>
    <sheetView showGridLines="0" topLeftCell="A7" zoomScale="120" zoomScaleSheetLayoutView="70" workbookViewId="0">
      <selection activeCell="C29" sqref="C29"/>
    </sheetView>
  </sheetViews>
  <sheetFormatPr defaultColWidth="8.85546875" defaultRowHeight="12"/>
  <cols>
    <col min="1" max="1" width="53.5703125" style="25" customWidth="1"/>
    <col min="2" max="2" width="16.85546875" style="25" customWidth="1"/>
    <col min="3" max="3" width="16.5703125" style="25" customWidth="1"/>
    <col min="4" max="4" width="13" style="25" customWidth="1"/>
    <col min="5" max="5" width="14.5703125" style="25" customWidth="1"/>
    <col min="6" max="6" width="15.85546875" style="25" customWidth="1"/>
    <col min="7" max="7" width="15.140625" style="25" customWidth="1"/>
    <col min="8" max="16384" width="8.85546875" style="25"/>
  </cols>
  <sheetData>
    <row r="1" spans="1:10" hidden="1"/>
    <row r="2" spans="1:10" hidden="1"/>
    <row r="3" spans="1:10" hidden="1"/>
    <row r="4" spans="1:10" hidden="1"/>
    <row r="5" spans="1:10" hidden="1"/>
    <row r="6" spans="1:10" ht="16.149999999999999" hidden="1" customHeight="1"/>
    <row r="7" spans="1:10">
      <c r="A7" s="542" t="s">
        <v>630</v>
      </c>
      <c r="B7" s="543"/>
      <c r="C7" s="543"/>
      <c r="D7" s="543"/>
      <c r="E7" s="543"/>
      <c r="F7" s="543"/>
      <c r="G7" s="543"/>
      <c r="H7" s="543"/>
      <c r="I7" s="543"/>
      <c r="J7" s="544"/>
    </row>
    <row r="8" spans="1:10">
      <c r="A8" s="545" t="s">
        <v>504</v>
      </c>
      <c r="B8" s="543"/>
      <c r="C8" s="543"/>
      <c r="D8" s="543"/>
      <c r="E8" s="543"/>
      <c r="F8" s="543"/>
      <c r="G8" s="543"/>
      <c r="H8" s="543"/>
      <c r="I8" s="543"/>
      <c r="J8" s="544"/>
    </row>
    <row r="9" spans="1:10" ht="21" customHeight="1">
      <c r="A9" s="546" t="s">
        <v>155</v>
      </c>
      <c r="B9" s="547"/>
      <c r="C9" s="547"/>
      <c r="D9" s="547"/>
      <c r="E9" s="547"/>
      <c r="F9" s="547"/>
      <c r="G9" s="547"/>
      <c r="H9" s="548"/>
      <c r="I9" s="548"/>
      <c r="J9" s="549"/>
    </row>
    <row r="10" spans="1:10" ht="25.5" customHeight="1">
      <c r="A10" s="281" t="s">
        <v>505</v>
      </c>
      <c r="B10" s="281">
        <v>2016</v>
      </c>
      <c r="C10" s="281">
        <f>B10+1</f>
        <v>2017</v>
      </c>
      <c r="D10" s="281">
        <f>C10+1</f>
        <v>2018</v>
      </c>
      <c r="E10" s="281">
        <f>D10+1</f>
        <v>2019</v>
      </c>
      <c r="F10" s="281">
        <f>E10+1</f>
        <v>2020</v>
      </c>
      <c r="G10" s="281">
        <f>F10+1</f>
        <v>2021</v>
      </c>
      <c r="H10" s="282"/>
      <c r="I10" s="282"/>
      <c r="J10" s="282"/>
    </row>
    <row r="11" spans="1:10" ht="12.75">
      <c r="A11" s="283" t="s">
        <v>132</v>
      </c>
      <c r="B11" s="284">
        <v>6.2899999999999998E-2</v>
      </c>
      <c r="C11" s="285">
        <v>3.9199999999999999E-2</v>
      </c>
      <c r="D11" s="285">
        <v>3.5799999999999998E-2</v>
      </c>
      <c r="E11" s="286">
        <v>4.07E-2</v>
      </c>
      <c r="F11" s="286">
        <v>4.02E-2</v>
      </c>
      <c r="G11" s="286">
        <v>3.9399999999999998E-2</v>
      </c>
      <c r="H11" s="287"/>
      <c r="I11" s="287"/>
      <c r="J11" s="287"/>
    </row>
    <row r="12" spans="1:10" ht="12.75">
      <c r="A12" s="283" t="s">
        <v>133</v>
      </c>
      <c r="B12" s="284">
        <v>-3.5999999999999997E-2</v>
      </c>
      <c r="C12" s="285">
        <v>5.3E-3</v>
      </c>
      <c r="D12" s="285">
        <v>0</v>
      </c>
      <c r="E12" s="286">
        <v>3.0099999999999998E-2</v>
      </c>
      <c r="F12" s="286">
        <v>2.6800000000000001E-2</v>
      </c>
      <c r="G12" s="286">
        <v>2.64E-2</v>
      </c>
      <c r="H12" s="287"/>
      <c r="I12" s="287"/>
      <c r="J12" s="287"/>
    </row>
    <row r="13" spans="1:10" ht="12.75">
      <c r="A13" s="288" t="s">
        <v>134</v>
      </c>
      <c r="B13" s="289">
        <f>IF(Projeções!C114=0,"-",((Projeções!D114/Projeções!C114)-1)-B11-B18)</f>
        <v>0.11808379178128821</v>
      </c>
      <c r="C13" s="289">
        <f>IF(Projeções!D114=0,"-",((Projeções!E114/Projeções!D114)-1)-C11-C18)</f>
        <v>-6.9778139444581638E-3</v>
      </c>
      <c r="D13" s="289">
        <f>IF(Projeções!E114=0,"-",((Projeções!F114/Projeções!E114)-1)-D11-D18)</f>
        <v>4.2429595440631129E-2</v>
      </c>
      <c r="E13" s="285">
        <f t="shared" ref="E13:G20" si="0">(B13+C13+D13)/3</f>
        <v>5.1178524425820389E-2</v>
      </c>
      <c r="F13" s="285">
        <f t="shared" si="0"/>
        <v>2.8876768640664453E-2</v>
      </c>
      <c r="G13" s="285">
        <f t="shared" si="0"/>
        <v>4.0828296169038651E-2</v>
      </c>
      <c r="H13" s="287"/>
      <c r="I13" s="287"/>
      <c r="J13" s="287"/>
    </row>
    <row r="14" spans="1:10" ht="12.75">
      <c r="A14" s="290" t="s">
        <v>135</v>
      </c>
      <c r="B14" s="289">
        <f>IF(Projeções!C122=0,"-",((Projeções!D122/Projeções!C122)-1)-B11-B12)</f>
        <v>1.3747557623157526E-2</v>
      </c>
      <c r="C14" s="289">
        <f>IF(Projeções!D122=0,"-",((Projeções!E122/Projeções!D122)-1)-C11-C12)</f>
        <v>-2.2583050797667661E-2</v>
      </c>
      <c r="D14" s="289">
        <v>0.01</v>
      </c>
      <c r="E14" s="285">
        <f t="shared" si="0"/>
        <v>3.8816894182995494E-4</v>
      </c>
      <c r="F14" s="285">
        <f t="shared" si="0"/>
        <v>-4.0649606186125686E-3</v>
      </c>
      <c r="G14" s="285">
        <f t="shared" si="0"/>
        <v>2.1077361077391291E-3</v>
      </c>
      <c r="H14" s="287"/>
      <c r="I14" s="287"/>
      <c r="J14" s="287"/>
    </row>
    <row r="15" spans="1:10" ht="12.75">
      <c r="A15" s="290" t="s">
        <v>136</v>
      </c>
      <c r="B15" s="289">
        <f>IF(Projeções!C9=0,"-",((Projeções!D9/Projeções!C9)-1)-B11-B12)</f>
        <v>2.6278571312983313E-2</v>
      </c>
      <c r="C15" s="289">
        <f>IF(Projeções!D9=0,"-",((Projeções!E9/Projeções!D9)-1)-C11-C12)</f>
        <v>-2.1176814521053503E-3</v>
      </c>
      <c r="D15" s="289">
        <v>5.5E-2</v>
      </c>
      <c r="E15" s="285">
        <f t="shared" si="0"/>
        <v>2.638696328695932E-2</v>
      </c>
      <c r="F15" s="285">
        <f t="shared" si="0"/>
        <v>2.6423093944951324E-2</v>
      </c>
      <c r="G15" s="285">
        <f t="shared" si="0"/>
        <v>3.5936685743970215E-2</v>
      </c>
      <c r="H15" s="287"/>
      <c r="I15" s="287"/>
      <c r="J15" s="287"/>
    </row>
    <row r="16" spans="1:10" ht="12.75">
      <c r="A16" s="290" t="s">
        <v>382</v>
      </c>
      <c r="B16" s="289">
        <f>IF(Projeções!C40=0,"-",((Projeções!D40/Projeções!C40)-1)-B11-B12)</f>
        <v>0.11871453429336701</v>
      </c>
      <c r="C16" s="289">
        <f>IF(Projeções!D40=0,"-",((Projeções!E40/Projeções!D40)-1)-C11-C12)</f>
        <v>-7.071633479255636E-2</v>
      </c>
      <c r="D16" s="289">
        <v>-3.39E-2</v>
      </c>
      <c r="E16" s="285">
        <f t="shared" si="0"/>
        <v>4.6993998336035498E-3</v>
      </c>
      <c r="F16" s="285">
        <f t="shared" si="0"/>
        <v>-3.3305644986317599E-2</v>
      </c>
      <c r="G16" s="285">
        <f t="shared" si="0"/>
        <v>-2.0835415050904683E-2</v>
      </c>
      <c r="H16" s="287"/>
      <c r="I16" s="287"/>
      <c r="J16" s="287"/>
    </row>
    <row r="17" spans="1:10" ht="12.75">
      <c r="A17" s="290" t="s">
        <v>383</v>
      </c>
      <c r="B17" s="289">
        <f>IF(Projeções!C51=0,"-",((Projeções!D51/Projeções!C51)-1)-B11-B12)</f>
        <v>6.0320748759032407E-2</v>
      </c>
      <c r="C17" s="289">
        <f>IF(Projeções!D51=0,"-",((Projeções!E51/Projeções!D51)-1)-C11-C12)</f>
        <v>-4.3751679032648885E-2</v>
      </c>
      <c r="D17" s="289">
        <v>0.01</v>
      </c>
      <c r="E17" s="285">
        <f t="shared" si="0"/>
        <v>8.8563565754611745E-3</v>
      </c>
      <c r="F17" s="285">
        <f t="shared" si="0"/>
        <v>-8.2984408190625702E-3</v>
      </c>
      <c r="G17" s="285">
        <f t="shared" si="0"/>
        <v>3.5193052521328688E-3</v>
      </c>
      <c r="H17" s="287"/>
      <c r="I17" s="287"/>
      <c r="J17" s="287"/>
    </row>
    <row r="18" spans="1:10" ht="12.75">
      <c r="A18" s="283" t="s">
        <v>384</v>
      </c>
      <c r="B18" s="291">
        <v>0</v>
      </c>
      <c r="C18" s="291">
        <v>0</v>
      </c>
      <c r="D18" s="291">
        <v>0</v>
      </c>
      <c r="E18" s="286">
        <v>0</v>
      </c>
      <c r="F18" s="286">
        <v>0</v>
      </c>
      <c r="G18" s="286">
        <v>0</v>
      </c>
      <c r="H18" s="287"/>
      <c r="I18" s="287"/>
      <c r="J18" s="287"/>
    </row>
    <row r="19" spans="1:10" ht="12.75">
      <c r="A19" s="283" t="s">
        <v>385</v>
      </c>
      <c r="B19" s="291">
        <v>0</v>
      </c>
      <c r="C19" s="291">
        <v>0</v>
      </c>
      <c r="D19" s="291">
        <v>0</v>
      </c>
      <c r="E19" s="291">
        <v>0</v>
      </c>
      <c r="F19" s="291">
        <v>0</v>
      </c>
      <c r="G19" s="291">
        <v>0</v>
      </c>
      <c r="H19" s="287"/>
      <c r="I19" s="287"/>
      <c r="J19" s="287"/>
    </row>
    <row r="20" spans="1:10" ht="12.75">
      <c r="A20" s="292" t="s">
        <v>143</v>
      </c>
      <c r="B20" s="289">
        <f>IF(Projeções!C127=0,"-",((Projeções!D127/Projeções!C127)-1)-B11-B12)</f>
        <v>1.8486016151557667</v>
      </c>
      <c r="C20" s="289">
        <f>IF(Projeções!D127=0,"-",((Projeções!E127/Projeções!D127)-1)-C11-C12)</f>
        <v>-0.67557780209615426</v>
      </c>
      <c r="D20" s="289">
        <f>IF(Projeções!E127=0,"-",((Projeções!F127/Projeções!E127)-1)-D11-D12)</f>
        <v>2.2123146825958941</v>
      </c>
      <c r="E20" s="285">
        <f t="shared" si="0"/>
        <v>1.1284461652185023</v>
      </c>
      <c r="F20" s="285">
        <f t="shared" si="0"/>
        <v>0.88839434857274746</v>
      </c>
      <c r="G20" s="285">
        <f t="shared" si="0"/>
        <v>1.4097183987957145</v>
      </c>
      <c r="H20" s="287"/>
      <c r="I20" s="287"/>
      <c r="J20" s="287"/>
    </row>
    <row r="21" spans="1:10" ht="12.75">
      <c r="A21" s="292" t="s">
        <v>212</v>
      </c>
      <c r="B21" s="289">
        <v>0.13750000000000001</v>
      </c>
      <c r="C21" s="289">
        <v>0.1018</v>
      </c>
      <c r="D21" s="285">
        <v>6.5000000000000002E-2</v>
      </c>
      <c r="E21" s="286">
        <v>7.3099999999999998E-2</v>
      </c>
      <c r="F21" s="286">
        <v>8.09E-2</v>
      </c>
      <c r="G21" s="286">
        <v>8.0799999999999997E-2</v>
      </c>
      <c r="H21" s="287"/>
      <c r="I21" s="287"/>
      <c r="J21" s="287"/>
    </row>
    <row r="22" spans="1:10" ht="12.75">
      <c r="A22" s="292" t="s">
        <v>536</v>
      </c>
      <c r="B22" s="293">
        <v>3.35</v>
      </c>
      <c r="C22" s="293">
        <v>3.29</v>
      </c>
      <c r="D22" s="294">
        <v>3.46</v>
      </c>
      <c r="E22" s="295">
        <v>3.43</v>
      </c>
      <c r="F22" s="295">
        <v>3.5</v>
      </c>
      <c r="G22" s="295">
        <v>3.55</v>
      </c>
      <c r="H22" s="287"/>
      <c r="I22" s="287"/>
      <c r="J22" s="287"/>
    </row>
    <row r="23" spans="1:10" ht="15">
      <c r="A23" s="296"/>
      <c r="B23" s="296"/>
      <c r="C23" s="297"/>
      <c r="D23" s="297"/>
      <c r="E23" s="297"/>
      <c r="F23" s="297"/>
      <c r="G23" s="297"/>
      <c r="H23" s="287"/>
      <c r="I23" s="287"/>
      <c r="J23" s="287"/>
    </row>
    <row r="24" spans="1:10">
      <c r="A24" s="540"/>
      <c r="B24" s="541"/>
      <c r="C24" s="541"/>
      <c r="D24" s="541"/>
      <c r="E24" s="541"/>
      <c r="F24" s="541"/>
      <c r="G24" s="541"/>
      <c r="H24" s="287"/>
      <c r="I24" s="287"/>
      <c r="J24" s="287"/>
    </row>
    <row r="25" spans="1:10">
      <c r="A25" s="541"/>
      <c r="B25" s="541"/>
      <c r="C25" s="541"/>
      <c r="D25" s="541"/>
      <c r="E25" s="541"/>
      <c r="F25" s="541"/>
      <c r="G25" s="541"/>
      <c r="H25" s="298"/>
      <c r="I25" s="287"/>
      <c r="J25" s="287"/>
    </row>
    <row r="26" spans="1:10">
      <c r="A26" s="541"/>
      <c r="B26" s="541"/>
      <c r="C26" s="541"/>
      <c r="D26" s="541"/>
      <c r="E26" s="541"/>
      <c r="F26" s="541"/>
      <c r="G26" s="541"/>
      <c r="H26" s="298"/>
      <c r="I26" s="287"/>
      <c r="J26" s="287"/>
    </row>
  </sheetData>
  <customSheetViews>
    <customSheetView guid="{16B3F100-CCE8-11D8-BD62-000C6E3CD3F1}" scale="75" showGridLines="0" hiddenRows="1" hiddenColumns="1" showRuler="0" topLeftCell="A7">
      <selection activeCell="B30" sqref="B30"/>
      <pageMargins left="0.78740157499999996" right="0.78740157499999996" top="0.984251969" bottom="0.984251969" header="0.49212598499999999" footer="0.49212598499999999"/>
      <pageSetup orientation="portrait" horizontalDpi="300" r:id="rId1"/>
      <headerFooter alignWithMargins="0"/>
    </customSheetView>
  </customSheetViews>
  <mergeCells count="4">
    <mergeCell ref="A24:G26"/>
    <mergeCell ref="A7:J7"/>
    <mergeCell ref="A8:J8"/>
    <mergeCell ref="A9:J9"/>
  </mergeCells>
  <phoneticPr fontId="25" type="noConversion"/>
  <printOptions gridLines="1"/>
  <pageMargins left="0" right="0" top="0.39370078740157483" bottom="0.19685039370078741" header="0.51181102362204722" footer="0.51181102362204722"/>
  <pageSetup paperSize="9" scale="70" orientation="landscape" horizontalDpi="300" verticalDpi="300" r:id="rId2"/>
  <headerFooter alignWithMargins="0"/>
  <colBreaks count="1" manualBreakCount="1">
    <brk id="8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3"/>
  <dimension ref="A1:N65"/>
  <sheetViews>
    <sheetView zoomScaleNormal="85" zoomScaleSheetLayoutView="100" workbookViewId="0">
      <selection activeCell="N56" sqref="N56:N65"/>
    </sheetView>
  </sheetViews>
  <sheetFormatPr defaultRowHeight="12.75"/>
  <cols>
    <col min="1" max="1" width="25.28515625" style="11" customWidth="1"/>
    <col min="2" max="2" width="14.28515625" style="11" customWidth="1"/>
    <col min="3" max="3" width="13.5703125" style="11" customWidth="1"/>
    <col min="4" max="4" width="10.28515625" style="11" customWidth="1"/>
    <col min="5" max="5" width="15.140625" style="11" customWidth="1"/>
    <col min="6" max="6" width="10.28515625" style="11" customWidth="1"/>
    <col min="7" max="7" width="15" style="11" customWidth="1"/>
    <col min="8" max="8" width="11" style="11" customWidth="1"/>
    <col min="9" max="9" width="15.140625" style="11" customWidth="1"/>
    <col min="10" max="10" width="10.7109375" style="11" customWidth="1"/>
    <col min="11" max="11" width="16.28515625" style="11" customWidth="1"/>
    <col min="12" max="12" width="10.28515625" style="11" customWidth="1"/>
    <col min="13" max="13" width="9.140625" style="11"/>
    <col min="14" max="14" width="17.28515625" style="11" customWidth="1"/>
    <col min="15" max="16384" width="9.140625" style="11"/>
  </cols>
  <sheetData>
    <row r="1" spans="1:12" ht="12.75" customHeight="1">
      <c r="A1" s="601" t="str">
        <f>Parâmetros!A7</f>
        <v>Município de : PORTÃO/RS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3"/>
    </row>
    <row r="2" spans="1:12">
      <c r="A2" s="604" t="s">
        <v>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3"/>
    </row>
    <row r="3" spans="1:12">
      <c r="A3" s="604" t="str">
        <f>'Metas Cons'!A3:M3</f>
        <v>ANEXO DE METAS FISCAIS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3"/>
    </row>
    <row r="4" spans="1:12">
      <c r="A4" s="605" t="s">
        <v>125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7"/>
    </row>
    <row r="5" spans="1:12">
      <c r="A5" s="604" t="s">
        <v>598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3"/>
    </row>
    <row r="6" spans="1:12">
      <c r="A6" s="604"/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3"/>
    </row>
    <row r="7" spans="1:12">
      <c r="A7" s="653" t="s">
        <v>497</v>
      </c>
      <c r="B7" s="654"/>
      <c r="C7" s="363"/>
      <c r="D7" s="363"/>
      <c r="E7" s="363"/>
      <c r="F7" s="363"/>
      <c r="G7" s="363"/>
      <c r="H7" s="363"/>
      <c r="I7" s="363"/>
      <c r="J7" s="363"/>
      <c r="K7" s="363"/>
      <c r="L7" s="364">
        <v>1</v>
      </c>
    </row>
    <row r="8" spans="1:12" ht="15.75" customHeight="1">
      <c r="A8" s="237" t="s">
        <v>56</v>
      </c>
      <c r="B8" s="650" t="s">
        <v>79</v>
      </c>
      <c r="C8" s="649"/>
      <c r="D8" s="649"/>
      <c r="E8" s="649"/>
      <c r="F8" s="649"/>
      <c r="G8" s="649"/>
      <c r="H8" s="649"/>
      <c r="I8" s="649"/>
      <c r="J8" s="649"/>
      <c r="K8" s="649"/>
      <c r="L8" s="649"/>
    </row>
    <row r="9" spans="1:12" s="12" customFormat="1" ht="15.75" customHeight="1">
      <c r="A9" s="651"/>
      <c r="B9" s="595">
        <f>Parâmetros!B10</f>
        <v>2016</v>
      </c>
      <c r="C9" s="595">
        <f>B9+1</f>
        <v>2017</v>
      </c>
      <c r="D9" s="595" t="s">
        <v>119</v>
      </c>
      <c r="E9" s="595">
        <f>C9+1</f>
        <v>2018</v>
      </c>
      <c r="F9" s="595" t="s">
        <v>119</v>
      </c>
      <c r="G9" s="598">
        <f>E9+1</f>
        <v>2019</v>
      </c>
      <c r="H9" s="598" t="s">
        <v>119</v>
      </c>
      <c r="I9" s="598">
        <f>G9+1</f>
        <v>2020</v>
      </c>
      <c r="J9" s="598" t="s">
        <v>120</v>
      </c>
      <c r="K9" s="598">
        <f>I9+1</f>
        <v>2021</v>
      </c>
      <c r="L9" s="643" t="s">
        <v>119</v>
      </c>
    </row>
    <row r="10" spans="1:12" s="12" customFormat="1" ht="15.75" customHeight="1">
      <c r="A10" s="652"/>
      <c r="B10" s="597"/>
      <c r="C10" s="597"/>
      <c r="D10" s="597"/>
      <c r="E10" s="597"/>
      <c r="F10" s="597"/>
      <c r="G10" s="600"/>
      <c r="H10" s="600"/>
      <c r="I10" s="600"/>
      <c r="J10" s="600"/>
      <c r="K10" s="600"/>
      <c r="L10" s="645"/>
    </row>
    <row r="11" spans="1:12">
      <c r="A11" s="365" t="s">
        <v>80</v>
      </c>
      <c r="B11" s="366">
        <v>79969598</v>
      </c>
      <c r="C11" s="367">
        <f>' Avaliação'!B11</f>
        <v>93233157.620000005</v>
      </c>
      <c r="D11" s="368">
        <f t="shared" ref="D11:D18" si="0">IF(B11=0,"0",(C11/B11)-1)</f>
        <v>0.16585752525603548</v>
      </c>
      <c r="E11" s="366">
        <v>101230740.90000001</v>
      </c>
      <c r="F11" s="368">
        <f t="shared" ref="F11:F18" si="1">IF(C11=0,"0",(E11/C11)-1)</f>
        <v>8.5780461416919751E-2</v>
      </c>
      <c r="G11" s="369">
        <f>'Metas Cons'!B11</f>
        <v>85289822.268859223</v>
      </c>
      <c r="H11" s="370">
        <f>IF(E11=0,"0",(G11/E11)-1)</f>
        <v>-0.15747112477313485</v>
      </c>
      <c r="I11" s="369">
        <f>'Metas Cons'!F11</f>
        <v>88051638.239718631</v>
      </c>
      <c r="J11" s="368">
        <f>IF(G11=0,"-",(I11/G11)-1)</f>
        <v>3.2381542104207073E-2</v>
      </c>
      <c r="K11" s="369">
        <f>'Metas Cons'!J11</f>
        <v>91770453.304013416</v>
      </c>
      <c r="L11" s="368">
        <f>IF(I11=0,"-",(K11/I11)-1)</f>
        <v>4.2234478978919077E-2</v>
      </c>
    </row>
    <row r="12" spans="1:12">
      <c r="A12" s="365" t="s">
        <v>126</v>
      </c>
      <c r="B12" s="366">
        <v>71575338</v>
      </c>
      <c r="C12" s="367">
        <f>' Avaliação'!B12</f>
        <v>81084839.140000001</v>
      </c>
      <c r="D12" s="368">
        <f t="shared" si="0"/>
        <v>0.13286002421672105</v>
      </c>
      <c r="E12" s="366">
        <v>88085450.099999994</v>
      </c>
      <c r="F12" s="368">
        <f t="shared" si="1"/>
        <v>8.633686684526598E-2</v>
      </c>
      <c r="G12" s="369">
        <f>'Metas Cons'!B12</f>
        <v>77382606.481257617</v>
      </c>
      <c r="H12" s="370">
        <f t="shared" ref="H12:H18" si="2">IF(E12=0,"0",(G12/E12)-1)</f>
        <v>-0.1215052384541585</v>
      </c>
      <c r="I12" s="369">
        <f>'Metas Cons'!F12</f>
        <v>79606823.025935441</v>
      </c>
      <c r="J12" s="368">
        <f t="shared" ref="J12:J18" si="3">IF(G12=0,"-",(I12/G12)-1)</f>
        <v>2.8743107085912545E-2</v>
      </c>
      <c r="K12" s="369">
        <f>'Metas Cons'!J12</f>
        <v>82761905.030811712</v>
      </c>
      <c r="L12" s="368">
        <f t="shared" ref="L12:L18" si="4">IF(I12=0,"-",(K12/I12)-1)</f>
        <v>3.9633311378955094E-2</v>
      </c>
    </row>
    <row r="13" spans="1:12">
      <c r="A13" s="365" t="s">
        <v>81</v>
      </c>
      <c r="B13" s="366">
        <v>79969598</v>
      </c>
      <c r="C13" s="367">
        <f>' Avaliação'!B13</f>
        <v>74446723.989999995</v>
      </c>
      <c r="D13" s="368">
        <f t="shared" si="0"/>
        <v>-6.9062170476335338E-2</v>
      </c>
      <c r="E13" s="366">
        <v>101230740.90000001</v>
      </c>
      <c r="F13" s="368">
        <f t="shared" si="1"/>
        <v>0.35977428521364829</v>
      </c>
      <c r="G13" s="369">
        <f>'Metas Cons'!B13</f>
        <v>95254389.862251192</v>
      </c>
      <c r="H13" s="370">
        <f t="shared" si="2"/>
        <v>-5.9036918870844834E-2</v>
      </c>
      <c r="I13" s="369">
        <f>'Metas Cons'!F13</f>
        <v>100604152.12157348</v>
      </c>
      <c r="J13" s="368">
        <f t="shared" si="3"/>
        <v>5.6162894613662084E-2</v>
      </c>
      <c r="K13" s="369">
        <f>'Metas Cons'!J13</f>
        <v>109199178.47010462</v>
      </c>
      <c r="L13" s="368">
        <f t="shared" si="4"/>
        <v>8.5434111488208009E-2</v>
      </c>
    </row>
    <row r="14" spans="1:12">
      <c r="A14" s="365" t="s">
        <v>122</v>
      </c>
      <c r="B14" s="366">
        <v>77878008</v>
      </c>
      <c r="C14" s="367">
        <f>' Avaliação'!B14</f>
        <v>72119976.890000001</v>
      </c>
      <c r="D14" s="368">
        <f t="shared" si="0"/>
        <v>-7.3936548428408688E-2</v>
      </c>
      <c r="E14" s="366">
        <v>98840585.170000002</v>
      </c>
      <c r="F14" s="368">
        <f t="shared" si="1"/>
        <v>0.37050217474078284</v>
      </c>
      <c r="G14" s="369">
        <f>'Metas Cons'!B14</f>
        <v>92606396.044486985</v>
      </c>
      <c r="H14" s="370">
        <f t="shared" si="2"/>
        <v>-6.307317095290943E-2</v>
      </c>
      <c r="I14" s="369">
        <f>'Metas Cons'!F14</f>
        <v>97841511.610198632</v>
      </c>
      <c r="J14" s="368">
        <f t="shared" si="3"/>
        <v>5.6530820648681424E-2</v>
      </c>
      <c r="K14" s="369">
        <f>'Metas Cons'!J14</f>
        <v>106318677.02345195</v>
      </c>
      <c r="L14" s="368">
        <f t="shared" si="4"/>
        <v>8.6641807487872979E-2</v>
      </c>
    </row>
    <row r="15" spans="1:12">
      <c r="A15" s="365" t="s">
        <v>82</v>
      </c>
      <c r="B15" s="367">
        <f>B12-B14</f>
        <v>-6302670</v>
      </c>
      <c r="C15" s="367">
        <f>' Avaliação'!B15</f>
        <v>8964862.25</v>
      </c>
      <c r="D15" s="368">
        <f t="shared" si="0"/>
        <v>-2.4223911850057198</v>
      </c>
      <c r="E15" s="367">
        <f>E12-E14</f>
        <v>-10755135.070000008</v>
      </c>
      <c r="F15" s="368">
        <f t="shared" si="1"/>
        <v>-2.1996988654231702</v>
      </c>
      <c r="G15" s="369">
        <f>G12-G14</f>
        <v>-15223789.563229367</v>
      </c>
      <c r="H15" s="370">
        <f t="shared" si="2"/>
        <v>0.41549031826611516</v>
      </c>
      <c r="I15" s="369">
        <f>I12-I14</f>
        <v>-18234688.584263191</v>
      </c>
      <c r="J15" s="368">
        <f t="shared" si="3"/>
        <v>0.19777592225172169</v>
      </c>
      <c r="K15" s="369">
        <f>K12-K14</f>
        <v>-23556771.992640242</v>
      </c>
      <c r="L15" s="368">
        <f t="shared" si="4"/>
        <v>0.29186587880475723</v>
      </c>
    </row>
    <row r="16" spans="1:12">
      <c r="A16" s="365" t="s">
        <v>83</v>
      </c>
      <c r="B16" s="371">
        <v>1580581</v>
      </c>
      <c r="C16" s="367">
        <f>' Avaliação'!B16</f>
        <v>-3318781.58</v>
      </c>
      <c r="D16" s="368">
        <f t="shared" si="0"/>
        <v>-3.0997225577176999</v>
      </c>
      <c r="E16" s="371">
        <v>3219508.46</v>
      </c>
      <c r="F16" s="368">
        <f t="shared" si="1"/>
        <v>-1.9700874801167241</v>
      </c>
      <c r="G16" s="369">
        <f>'Metas Cons'!B16</f>
        <v>-14459173.112295367</v>
      </c>
      <c r="H16" s="370">
        <f t="shared" si="2"/>
        <v>-5.4911120104015403</v>
      </c>
      <c r="I16" s="369">
        <f>'Metas Cons'!F16</f>
        <v>-18015778.817815669</v>
      </c>
      <c r="J16" s="368">
        <f t="shared" si="3"/>
        <v>0.24597573304492348</v>
      </c>
      <c r="K16" s="369">
        <f>'Metas Cons'!J16</f>
        <v>-23310520.280724924</v>
      </c>
      <c r="L16" s="368">
        <f t="shared" si="4"/>
        <v>0.29389467513185297</v>
      </c>
    </row>
    <row r="17" spans="1:12">
      <c r="A17" s="365" t="s">
        <v>84</v>
      </c>
      <c r="B17" s="372">
        <f>Dívida!B7</f>
        <v>1968245.02</v>
      </c>
      <c r="C17" s="367">
        <f>' Avaliação'!B17</f>
        <v>1560483.86</v>
      </c>
      <c r="D17" s="368">
        <f t="shared" si="0"/>
        <v>-0.20716991830620757</v>
      </c>
      <c r="E17" s="372">
        <f>Dívida!D7</f>
        <v>1613031.5</v>
      </c>
      <c r="F17" s="368">
        <f t="shared" si="1"/>
        <v>3.3673940081635934E-2</v>
      </c>
      <c r="G17" s="369">
        <f>'Metas Cons'!B17</f>
        <v>1713920.1266666667</v>
      </c>
      <c r="H17" s="370">
        <f t="shared" si="2"/>
        <v>6.2545974252001146E-2</v>
      </c>
      <c r="I17" s="369">
        <f>'Metas Cons'!F17</f>
        <v>1629145.1622222224</v>
      </c>
      <c r="J17" s="368">
        <f t="shared" si="3"/>
        <v>-4.9462610961526932E-2</v>
      </c>
      <c r="K17" s="369">
        <f>'Metas Cons'!J17</f>
        <v>1652032.2629629632</v>
      </c>
      <c r="L17" s="368">
        <f t="shared" si="4"/>
        <v>1.4048533716616074E-2</v>
      </c>
    </row>
    <row r="18" spans="1:12">
      <c r="A18" s="373" t="s">
        <v>78</v>
      </c>
      <c r="B18" s="374">
        <f>Dívida!B15</f>
        <v>-6278158.879999999</v>
      </c>
      <c r="C18" s="367">
        <f>' Avaliação'!B18</f>
        <v>-9611949.25</v>
      </c>
      <c r="D18" s="368">
        <f t="shared" si="0"/>
        <v>0.53101401760001354</v>
      </c>
      <c r="E18" s="374">
        <f>Dívida!D15</f>
        <v>-16280878.579999998</v>
      </c>
      <c r="F18" s="368">
        <f t="shared" si="1"/>
        <v>0.69381653570424318</v>
      </c>
      <c r="G18" s="369">
        <f>'Metas Cons'!B18</f>
        <v>-11684122.676666664</v>
      </c>
      <c r="H18" s="370">
        <f t="shared" si="2"/>
        <v>-0.28234077668143476</v>
      </c>
      <c r="I18" s="369">
        <f>'Metas Cons'!F18</f>
        <v>-13250127.242222223</v>
      </c>
      <c r="J18" s="368">
        <f t="shared" si="3"/>
        <v>0.13402842548742577</v>
      </c>
      <c r="K18" s="369">
        <f>'Metas Cons'!J18</f>
        <v>-13926527.499629628</v>
      </c>
      <c r="L18" s="368">
        <f t="shared" si="4"/>
        <v>5.1048585801653168E-2</v>
      </c>
    </row>
    <row r="19" spans="1:12">
      <c r="A19" s="649"/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</row>
    <row r="20" spans="1:12" ht="15.75" customHeight="1">
      <c r="A20" s="236" t="s">
        <v>56</v>
      </c>
      <c r="B20" s="650" t="s">
        <v>85</v>
      </c>
      <c r="C20" s="649"/>
      <c r="D20" s="649"/>
      <c r="E20" s="649"/>
      <c r="F20" s="649"/>
      <c r="G20" s="649"/>
      <c r="H20" s="649"/>
      <c r="I20" s="649"/>
      <c r="J20" s="649"/>
      <c r="K20" s="649"/>
      <c r="L20" s="649"/>
    </row>
    <row r="21" spans="1:12" s="12" customFormat="1" ht="15.75" customHeight="1">
      <c r="A21" s="651"/>
      <c r="B21" s="595">
        <f>Parâmetros!B10</f>
        <v>2016</v>
      </c>
      <c r="C21" s="595">
        <f>B21+1</f>
        <v>2017</v>
      </c>
      <c r="D21" s="595" t="s">
        <v>119</v>
      </c>
      <c r="E21" s="595">
        <f>C21+1</f>
        <v>2018</v>
      </c>
      <c r="F21" s="598" t="s">
        <v>119</v>
      </c>
      <c r="G21" s="598">
        <f>E21+1</f>
        <v>2019</v>
      </c>
      <c r="H21" s="598" t="s">
        <v>119</v>
      </c>
      <c r="I21" s="598">
        <f>G21+1</f>
        <v>2020</v>
      </c>
      <c r="J21" s="598" t="s">
        <v>119</v>
      </c>
      <c r="K21" s="598">
        <f>I21+1</f>
        <v>2021</v>
      </c>
      <c r="L21" s="643" t="s">
        <v>119</v>
      </c>
    </row>
    <row r="22" spans="1:12" s="12" customFormat="1" ht="15.75" customHeight="1">
      <c r="A22" s="652"/>
      <c r="B22" s="597"/>
      <c r="C22" s="597"/>
      <c r="D22" s="597"/>
      <c r="E22" s="597"/>
      <c r="F22" s="600"/>
      <c r="G22" s="600"/>
      <c r="H22" s="600"/>
      <c r="I22" s="600"/>
      <c r="J22" s="600"/>
      <c r="K22" s="600"/>
      <c r="L22" s="645"/>
    </row>
    <row r="23" spans="1:12">
      <c r="A23" s="365" t="s">
        <v>80</v>
      </c>
      <c r="B23" s="369">
        <f>B11*((1+Parâmetros!C11)*(1+Parâmetros!D11))</f>
        <v>86079543.985049278</v>
      </c>
      <c r="C23" s="367">
        <f>C11*(1+Parâmetros!D11)</f>
        <v>96570904.662796006</v>
      </c>
      <c r="D23" s="368">
        <f>IF(B23=0,"-",(C23/B23)-1)</f>
        <v>0.12187983569672389</v>
      </c>
      <c r="E23" s="367">
        <f>E11</f>
        <v>101230740.90000001</v>
      </c>
      <c r="F23" s="368">
        <f>IF(C23=0,"-",(E23/C23)-1)</f>
        <v>4.8253003878084177E-2</v>
      </c>
      <c r="G23" s="369">
        <f>'Metas Cons'!C11</f>
        <v>81954282.952684954</v>
      </c>
      <c r="H23" s="368">
        <f>IF(E23=0,"-",(G23/E23)-1)</f>
        <v>-0.19042099046135752</v>
      </c>
      <c r="I23" s="369">
        <f>'Metas Cons'!G11</f>
        <v>81338289.768061355</v>
      </c>
      <c r="J23" s="368">
        <f>IF(G23=0,"-",(I23/G23)-1)</f>
        <v>-7.5163025339289868E-3</v>
      </c>
      <c r="K23" s="369">
        <f>'Metas Cons'!K11</f>
        <v>81560102.037186608</v>
      </c>
      <c r="L23" s="368">
        <f>IF(I23=0,"-",(K23/I23)-1)</f>
        <v>2.727033845409732E-3</v>
      </c>
    </row>
    <row r="24" spans="1:12">
      <c r="A24" s="365" t="s">
        <v>126</v>
      </c>
      <c r="B24" s="369">
        <f>B12*((1+Parâmetros!C11)*(1+Parâmetros!D11))</f>
        <v>77043934.316335678</v>
      </c>
      <c r="C24" s="367">
        <f>C12*(1+Parâmetros!D11)</f>
        <v>83987676.381212011</v>
      </c>
      <c r="D24" s="368">
        <f t="shared" ref="D24:D30" si="5">IF(B24=0,"-",(C24/B24)-1)</f>
        <v>9.0127044088453845E-2</v>
      </c>
      <c r="E24" s="367">
        <f>E12</f>
        <v>88085450.099999994</v>
      </c>
      <c r="F24" s="368">
        <f>IF(C24=0,"-",(E24/C24)-1)</f>
        <v>4.8790178456522337E-2</v>
      </c>
      <c r="G24" s="375">
        <f>'Metas Cons'!C12</f>
        <v>74356304.872929394</v>
      </c>
      <c r="H24" s="368">
        <f t="shared" ref="H24:H30" si="6">IF(E24=0,"-",(G24/E24)-1)</f>
        <v>-0.15586166854440131</v>
      </c>
      <c r="I24" s="375">
        <f>'Metas Cons'!G12</f>
        <v>73537335.230152637</v>
      </c>
      <c r="J24" s="368">
        <f t="shared" ref="J24:J30" si="7">IF(G24=0,"-",(I24/G24)-1)</f>
        <v>-1.1014125085644477E-2</v>
      </c>
      <c r="K24" s="375">
        <f>'Metas Cons'!K12</f>
        <v>73553841.96200487</v>
      </c>
      <c r="L24" s="368">
        <f t="shared" ref="L24:L30" si="8">IF(I24=0,"-",(K24/I24)-1)</f>
        <v>2.2446736478243245E-4</v>
      </c>
    </row>
    <row r="25" spans="1:12">
      <c r="A25" s="365" t="s">
        <v>81</v>
      </c>
      <c r="B25" s="369">
        <f>B13*((1+Parâmetros!C11)*(1+Parâmetros!D11))</f>
        <v>86079543.985049278</v>
      </c>
      <c r="C25" s="367">
        <f>C13*(1+Parâmetros!D11)</f>
        <v>77111916.708841994</v>
      </c>
      <c r="D25" s="368">
        <f t="shared" si="5"/>
        <v>-0.10417837805651975</v>
      </c>
      <c r="E25" s="367">
        <f>E13</f>
        <v>101230740.90000001</v>
      </c>
      <c r="F25" s="368">
        <f t="shared" ref="F25:F30" si="9">IF(C25=0,"-",(E25/C25)-1)</f>
        <v>0.31277687315470959</v>
      </c>
      <c r="G25" s="375">
        <f>'Metas Cons'!C13</f>
        <v>91529153.322044</v>
      </c>
      <c r="H25" s="368">
        <f t="shared" si="6"/>
        <v>-9.5836378275050316E-2</v>
      </c>
      <c r="I25" s="375">
        <f>'Metas Cons'!G13</f>
        <v>92933758.425444782</v>
      </c>
      <c r="J25" s="368">
        <f t="shared" si="7"/>
        <v>1.534598597737169E-2</v>
      </c>
      <c r="K25" s="375">
        <f>'Metas Cons'!K13</f>
        <v>97049712.818724662</v>
      </c>
      <c r="L25" s="368">
        <f t="shared" si="8"/>
        <v>4.4289120154135109E-2</v>
      </c>
    </row>
    <row r="26" spans="1:12">
      <c r="A26" s="365" t="s">
        <v>122</v>
      </c>
      <c r="B26" s="369">
        <f>B14*((1+Parâmetros!C11)*(1+Parâmetros!D11))</f>
        <v>83828149.481306881</v>
      </c>
      <c r="C26" s="367">
        <f>C14*(1+Parâmetros!D11)</f>
        <v>74701872.062662005</v>
      </c>
      <c r="D26" s="368">
        <f t="shared" si="5"/>
        <v>-0.10886888801809913</v>
      </c>
      <c r="E26" s="367">
        <f>E14</f>
        <v>98840585.170000002</v>
      </c>
      <c r="F26" s="368">
        <f t="shared" si="9"/>
        <v>0.32313397831703305</v>
      </c>
      <c r="G26" s="375">
        <f>'Metas Cons'!C14</f>
        <v>88984718.021031022</v>
      </c>
      <c r="H26" s="368">
        <f t="shared" si="6"/>
        <v>-9.9714779430104206E-2</v>
      </c>
      <c r="I26" s="375">
        <f>'Metas Cons'!G14</f>
        <v>90381750.774804279</v>
      </c>
      <c r="J26" s="368">
        <f t="shared" si="7"/>
        <v>1.5699692990464698E-2</v>
      </c>
      <c r="K26" s="375">
        <f>'Metas Cons'!K14</f>
        <v>94489695.041227415</v>
      </c>
      <c r="L26" s="368">
        <f t="shared" si="8"/>
        <v>4.5451036644095444E-2</v>
      </c>
    </row>
    <row r="27" spans="1:12">
      <c r="A27" s="365" t="s">
        <v>82</v>
      </c>
      <c r="B27" s="369">
        <f>B24-B26</f>
        <v>-6784215.1649712026</v>
      </c>
      <c r="C27" s="375">
        <f>C24-C26</f>
        <v>9285804.3185500056</v>
      </c>
      <c r="D27" s="368">
        <f t="shared" si="5"/>
        <v>-2.3687367061255964</v>
      </c>
      <c r="E27" s="375">
        <f>E24-E26</f>
        <v>-10755135.070000008</v>
      </c>
      <c r="F27" s="368">
        <f t="shared" si="9"/>
        <v>-2.1582340851739423</v>
      </c>
      <c r="G27" s="375">
        <f>'Metas Cons'!C15</f>
        <v>-14628413.148101632</v>
      </c>
      <c r="H27" s="368">
        <f t="shared" si="6"/>
        <v>0.36013290887490657</v>
      </c>
      <c r="I27" s="375">
        <f>'Metas Cons'!G15</f>
        <v>-16844415.544651646</v>
      </c>
      <c r="J27" s="368">
        <f t="shared" si="7"/>
        <v>0.15148617790013619</v>
      </c>
      <c r="K27" s="375">
        <f>'Metas Cons'!K15</f>
        <v>-20935853.079222541</v>
      </c>
      <c r="L27" s="368">
        <f t="shared" si="8"/>
        <v>0.2428957848804667</v>
      </c>
    </row>
    <row r="28" spans="1:12">
      <c r="A28" s="365" t="s">
        <v>83</v>
      </c>
      <c r="B28" s="369">
        <f>B16*((1+Parâmetros!C11)*(1+Parâmetros!D11))</f>
        <v>1701342.69915216</v>
      </c>
      <c r="C28" s="367">
        <f>C16*(1+Parâmetros!D11)</f>
        <v>-3437593.9605640001</v>
      </c>
      <c r="D28" s="368">
        <f t="shared" si="5"/>
        <v>-3.0205182426074866</v>
      </c>
      <c r="E28" s="367">
        <f>E16</f>
        <v>3219508.46</v>
      </c>
      <c r="F28" s="368">
        <f t="shared" si="9"/>
        <v>-1.9365586793944043</v>
      </c>
      <c r="G28" s="375">
        <f>'Metas Cons'!C16</f>
        <v>-13893699.54097758</v>
      </c>
      <c r="H28" s="368">
        <f t="shared" si="6"/>
        <v>-5.3154722882689924</v>
      </c>
      <c r="I28" s="375">
        <f>'Metas Cons'!G16</f>
        <v>-16642196.183691077</v>
      </c>
      <c r="J28" s="368">
        <f t="shared" si="7"/>
        <v>0.19782323884341801</v>
      </c>
      <c r="K28" s="375">
        <f>'Metas Cons'!K16</f>
        <v>-20716999.253971066</v>
      </c>
      <c r="L28" s="368">
        <f t="shared" si="8"/>
        <v>0.24484767667101481</v>
      </c>
    </row>
    <row r="29" spans="1:12">
      <c r="A29" s="365" t="s">
        <v>84</v>
      </c>
      <c r="B29" s="369">
        <f>B17*((1+Parâmetros!C11)*(1+Parâmetros!D11))</f>
        <v>2118625.5528312675</v>
      </c>
      <c r="C29" s="367">
        <f>C17*(1+Parâmetros!D11)</f>
        <v>1616349.1821880003</v>
      </c>
      <c r="D29" s="368">
        <f t="shared" si="5"/>
        <v>-0.23707651877040758</v>
      </c>
      <c r="E29" s="367">
        <f>E17</f>
        <v>1613031.5</v>
      </c>
      <c r="F29" s="368">
        <f t="shared" si="9"/>
        <v>-2.0525776388918837E-3</v>
      </c>
      <c r="G29" s="375">
        <f>'Metas Cons'!C17</f>
        <v>1646891.6370391725</v>
      </c>
      <c r="H29" s="368">
        <f t="shared" si="6"/>
        <v>2.0991615501106065E-2</v>
      </c>
      <c r="I29" s="375">
        <f>'Metas Cons'!G17</f>
        <v>1504933.7403388883</v>
      </c>
      <c r="J29" s="368">
        <f t="shared" si="7"/>
        <v>-8.6197472564436661E-2</v>
      </c>
      <c r="K29" s="375">
        <f>'Metas Cons'!K17</f>
        <v>1468227.6820582182</v>
      </c>
      <c r="L29" s="368">
        <f t="shared" si="8"/>
        <v>-2.4390481319399804E-2</v>
      </c>
    </row>
    <row r="30" spans="1:12">
      <c r="A30" s="373" t="s">
        <v>78</v>
      </c>
      <c r="B30" s="369">
        <f>B18*((1+Parâmetros!C11)*(1+Parâmetros!D11))</f>
        <v>-6757831.3130458361</v>
      </c>
      <c r="C30" s="367">
        <f>C18*(1+Parâmetros!D11)</f>
        <v>-9956057.0331500005</v>
      </c>
      <c r="D30" s="368">
        <f t="shared" si="5"/>
        <v>0.47326214164743408</v>
      </c>
      <c r="E30" s="367">
        <f>E18</f>
        <v>-16280878.579999998</v>
      </c>
      <c r="F30" s="368">
        <f t="shared" si="9"/>
        <v>0.63527373595698311</v>
      </c>
      <c r="G30" s="376">
        <f>'Metas Cons'!C18</f>
        <v>-11227176.58947503</v>
      </c>
      <c r="H30" s="368">
        <f t="shared" si="6"/>
        <v>-0.31040720349902451</v>
      </c>
      <c r="I30" s="369">
        <f>IF('Metas Cons'!G18=0,"0",('Metas Cons'!G18))</f>
        <v>-12239893.665094843</v>
      </c>
      <c r="J30" s="368">
        <f t="shared" si="7"/>
        <v>9.020229329689089E-2</v>
      </c>
      <c r="K30" s="369">
        <f>IF('Metas Cons'!K18=0,"0",('Metas Cons'!K18))</f>
        <v>-12377066.506696697</v>
      </c>
      <c r="L30" s="368">
        <f t="shared" si="8"/>
        <v>1.1207028864395951E-2</v>
      </c>
    </row>
    <row r="31" spans="1:12">
      <c r="A31" s="590" t="s">
        <v>792</v>
      </c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</row>
    <row r="56" spans="14:14">
      <c r="N56" s="598">
        <f>L56+1</f>
        <v>1</v>
      </c>
    </row>
    <row r="57" spans="14:14">
      <c r="N57" s="600"/>
    </row>
    <row r="58" spans="14:14">
      <c r="N58" s="369">
        <f>'Metas Cons'!I58</f>
        <v>0</v>
      </c>
    </row>
    <row r="59" spans="14:14">
      <c r="N59" s="369">
        <f>'Metas Cons'!I59</f>
        <v>0</v>
      </c>
    </row>
    <row r="60" spans="14:14">
      <c r="N60" s="369">
        <f>'Metas Cons'!I60</f>
        <v>0</v>
      </c>
    </row>
    <row r="61" spans="14:14">
      <c r="N61" s="369">
        <f>'Metas Cons'!I61</f>
        <v>0</v>
      </c>
    </row>
    <row r="62" spans="14:14">
      <c r="N62" s="369">
        <f>N59-N61</f>
        <v>0</v>
      </c>
    </row>
    <row r="63" spans="14:14">
      <c r="N63" s="369">
        <f>'Metas Cons'!I63</f>
        <v>0</v>
      </c>
    </row>
    <row r="64" spans="14:14">
      <c r="N64" s="369">
        <f>'Metas Cons'!I64</f>
        <v>0</v>
      </c>
    </row>
    <row r="65" spans="14:14">
      <c r="N65" s="369">
        <f>'Metas Cons'!I65</f>
        <v>0</v>
      </c>
    </row>
  </sheetData>
  <mergeCells count="36">
    <mergeCell ref="N56:N57"/>
    <mergeCell ref="A1:L1"/>
    <mergeCell ref="A2:L2"/>
    <mergeCell ref="A3:L3"/>
    <mergeCell ref="A4:L4"/>
    <mergeCell ref="B8:L8"/>
    <mergeCell ref="A7:B7"/>
    <mergeCell ref="A5:L5"/>
    <mergeCell ref="A6:L6"/>
    <mergeCell ref="A31:L31"/>
    <mergeCell ref="F21:F22"/>
    <mergeCell ref="I21:I22"/>
    <mergeCell ref="J21:J22"/>
    <mergeCell ref="K21:K22"/>
    <mergeCell ref="B21:B22"/>
    <mergeCell ref="C21:C22"/>
    <mergeCell ref="D21:D22"/>
    <mergeCell ref="E21:E22"/>
    <mergeCell ref="L21:L22"/>
    <mergeCell ref="G21:G22"/>
    <mergeCell ref="H21:H22"/>
    <mergeCell ref="A21:A22"/>
    <mergeCell ref="A19:L19"/>
    <mergeCell ref="B20:L20"/>
    <mergeCell ref="E9:E10"/>
    <mergeCell ref="J9:J10"/>
    <mergeCell ref="K9:K10"/>
    <mergeCell ref="L9:L10"/>
    <mergeCell ref="A9:A10"/>
    <mergeCell ref="B9:B10"/>
    <mergeCell ref="C9:C10"/>
    <mergeCell ref="F9:F10"/>
    <mergeCell ref="G9:G10"/>
    <mergeCell ref="H9:H10"/>
    <mergeCell ref="D9:D10"/>
    <mergeCell ref="I9:I10"/>
  </mergeCells>
  <phoneticPr fontId="25" type="noConversion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4"/>
  <dimension ref="A1:K27"/>
  <sheetViews>
    <sheetView topLeftCell="A13" zoomScaleNormal="95" zoomScaleSheetLayoutView="90" workbookViewId="0">
      <selection activeCell="E12" sqref="E12"/>
    </sheetView>
  </sheetViews>
  <sheetFormatPr defaultRowHeight="12.75"/>
  <cols>
    <col min="1" max="1" width="22" style="11" customWidth="1"/>
    <col min="2" max="2" width="17.5703125" style="11" customWidth="1"/>
    <col min="3" max="3" width="10.140625" style="11" customWidth="1"/>
    <col min="4" max="4" width="17.7109375" style="11" customWidth="1"/>
    <col min="5" max="5" width="10.42578125" style="11" customWidth="1"/>
    <col min="6" max="6" width="18" style="11" customWidth="1"/>
    <col min="7" max="7" width="10.7109375" style="11" customWidth="1"/>
    <col min="8" max="10" width="9.140625" style="11"/>
    <col min="11" max="11" width="14" style="11" bestFit="1" customWidth="1"/>
    <col min="12" max="16384" width="9.140625" style="11"/>
  </cols>
  <sheetData>
    <row r="1" spans="1:11" ht="15.75">
      <c r="A1" s="662" t="str">
        <f>Parâmetros!A7</f>
        <v>Município de : PORTÃO/RS</v>
      </c>
      <c r="B1" s="658"/>
      <c r="C1" s="658"/>
      <c r="D1" s="658"/>
      <c r="E1" s="658"/>
      <c r="F1" s="658"/>
      <c r="G1" s="659"/>
    </row>
    <row r="2" spans="1:11" ht="15.75">
      <c r="A2" s="657" t="s">
        <v>36</v>
      </c>
      <c r="B2" s="658"/>
      <c r="C2" s="658"/>
      <c r="D2" s="658"/>
      <c r="E2" s="658"/>
      <c r="F2" s="658"/>
      <c r="G2" s="659"/>
    </row>
    <row r="3" spans="1:11" ht="15.75">
      <c r="A3" s="657" t="str">
        <f>'Metas Cons'!A3:M3</f>
        <v>ANEXO DE METAS FISCAIS</v>
      </c>
      <c r="B3" s="658"/>
      <c r="C3" s="658"/>
      <c r="D3" s="658"/>
      <c r="E3" s="658"/>
      <c r="F3" s="658"/>
      <c r="G3" s="659"/>
    </row>
    <row r="4" spans="1:11" ht="15.75">
      <c r="A4" s="666" t="s">
        <v>489</v>
      </c>
      <c r="B4" s="667"/>
      <c r="C4" s="667"/>
      <c r="D4" s="667"/>
      <c r="E4" s="667"/>
      <c r="F4" s="667"/>
      <c r="G4" s="668"/>
    </row>
    <row r="5" spans="1:11" ht="15.75">
      <c r="A5" s="657" t="s">
        <v>601</v>
      </c>
      <c r="B5" s="658"/>
      <c r="C5" s="658"/>
      <c r="D5" s="658"/>
      <c r="E5" s="658"/>
      <c r="F5" s="658"/>
      <c r="G5" s="659"/>
    </row>
    <row r="6" spans="1:11" ht="15.75">
      <c r="A6" s="657"/>
      <c r="B6" s="658"/>
      <c r="C6" s="658"/>
      <c r="D6" s="658"/>
      <c r="E6" s="658"/>
      <c r="F6" s="658"/>
      <c r="G6" s="659"/>
    </row>
    <row r="7" spans="1:11" ht="15.75">
      <c r="A7" s="664" t="s">
        <v>496</v>
      </c>
      <c r="B7" s="665"/>
      <c r="C7" s="377"/>
      <c r="D7" s="377"/>
      <c r="E7" s="377"/>
      <c r="F7" s="377"/>
      <c r="G7" s="378">
        <v>1</v>
      </c>
    </row>
    <row r="8" spans="1:11" s="12" customFormat="1" ht="30" customHeight="1">
      <c r="A8" s="379" t="s">
        <v>86</v>
      </c>
      <c r="B8" s="379">
        <f>Parâmetros!C10</f>
        <v>2017</v>
      </c>
      <c r="C8" s="379" t="s">
        <v>13</v>
      </c>
      <c r="D8" s="379">
        <f>B8-1</f>
        <v>2016</v>
      </c>
      <c r="E8" s="379" t="s">
        <v>13</v>
      </c>
      <c r="F8" s="379">
        <f>D8-1</f>
        <v>2015</v>
      </c>
      <c r="G8" s="392" t="s">
        <v>13</v>
      </c>
    </row>
    <row r="9" spans="1:11" ht="15.75">
      <c r="A9" s="380" t="s">
        <v>87</v>
      </c>
      <c r="B9" s="381">
        <f>D12</f>
        <v>19411480.099999998</v>
      </c>
      <c r="C9" s="382">
        <f>IF(B12=0,"-",(B9/B12))</f>
        <v>0.24670115331569781</v>
      </c>
      <c r="D9" s="381">
        <f>F12</f>
        <v>25889905.869999997</v>
      </c>
      <c r="E9" s="382">
        <f>IF(D12=0,"-",(D9/D12))</f>
        <v>1.3337419782842834</v>
      </c>
      <c r="F9" s="381">
        <v>12744164.17</v>
      </c>
      <c r="G9" s="382">
        <f>IF(F12=0,"-",(F9/F12))</f>
        <v>0.492244515449063</v>
      </c>
    </row>
    <row r="10" spans="1:11" ht="15.75">
      <c r="A10" s="380" t="s">
        <v>41</v>
      </c>
      <c r="B10" s="383">
        <f>78684188.7-34819185.01</f>
        <v>43865003.690000005</v>
      </c>
      <c r="C10" s="382">
        <f>IF(B12=0,"-",(B10/B12))</f>
        <v>0.55748180688809723</v>
      </c>
      <c r="D10" s="383">
        <v>-13145741.699999999</v>
      </c>
      <c r="E10" s="382">
        <f>IF(D12=0,"-",(D10/D12))</f>
        <v>-0.67721480444966176</v>
      </c>
      <c r="F10" s="384"/>
      <c r="G10" s="382">
        <f>IF(F12=0,"-",(F10/F12))</f>
        <v>0</v>
      </c>
    </row>
    <row r="11" spans="1:11" ht="15.75">
      <c r="A11" s="385" t="s">
        <v>88</v>
      </c>
      <c r="B11" s="386">
        <v>15407704.91</v>
      </c>
      <c r="C11" s="387">
        <f>IF(B12=0,"-",(B11/B12))</f>
        <v>0.19581703979620493</v>
      </c>
      <c r="D11" s="386">
        <v>6667315.9299999997</v>
      </c>
      <c r="E11" s="387"/>
      <c r="F11" s="386">
        <v>13145741.699999999</v>
      </c>
      <c r="G11" s="387">
        <f>IF(F12=0,"-",(F11/F12))</f>
        <v>0.50775548455093711</v>
      </c>
    </row>
    <row r="12" spans="1:11" ht="15.75">
      <c r="A12" s="388" t="s">
        <v>89</v>
      </c>
      <c r="B12" s="389">
        <f>SUM(B9:B11)</f>
        <v>78684188.700000003</v>
      </c>
      <c r="C12" s="387">
        <f>IF(B12=0,"-",(B12/B12))</f>
        <v>1</v>
      </c>
      <c r="D12" s="389">
        <f>SUM(D9:D11)</f>
        <v>19411480.099999998</v>
      </c>
      <c r="E12" s="387">
        <f>IF(D12=0,"-",(D12/D12))</f>
        <v>1</v>
      </c>
      <c r="F12" s="389">
        <f>SUM(F9:F11)</f>
        <v>25889905.869999997</v>
      </c>
      <c r="G12" s="387">
        <f>IF(F12=0,"-",(F12/F12))</f>
        <v>1</v>
      </c>
      <c r="K12" s="461">
        <f>D12-19411480.1</f>
        <v>0</v>
      </c>
    </row>
    <row r="13" spans="1:11" ht="15.75">
      <c r="A13" s="663"/>
      <c r="B13" s="663"/>
      <c r="C13" s="663"/>
      <c r="D13" s="663"/>
      <c r="E13" s="663"/>
      <c r="F13" s="663"/>
      <c r="G13" s="663"/>
    </row>
    <row r="14" spans="1:11" ht="15.75" customHeight="1">
      <c r="A14" s="660" t="s">
        <v>90</v>
      </c>
      <c r="B14" s="660"/>
      <c r="C14" s="660"/>
      <c r="D14" s="660"/>
      <c r="E14" s="660"/>
      <c r="F14" s="660"/>
      <c r="G14" s="660"/>
    </row>
    <row r="15" spans="1:11" s="12" customFormat="1" ht="25.5" customHeight="1">
      <c r="A15" s="379" t="s">
        <v>86</v>
      </c>
      <c r="B15" s="379">
        <f>Parâmetros!C10</f>
        <v>2017</v>
      </c>
      <c r="C15" s="379" t="s">
        <v>13</v>
      </c>
      <c r="D15" s="379">
        <f>B15-1</f>
        <v>2016</v>
      </c>
      <c r="E15" s="379" t="s">
        <v>13</v>
      </c>
      <c r="F15" s="379">
        <f>D15-1</f>
        <v>2015</v>
      </c>
      <c r="G15" s="392" t="s">
        <v>13</v>
      </c>
    </row>
    <row r="16" spans="1:11" ht="15.75">
      <c r="A16" s="380" t="s">
        <v>87</v>
      </c>
      <c r="B16" s="381">
        <f>D19</f>
        <v>16233493.559999999</v>
      </c>
      <c r="C16" s="382">
        <f>IF(B19=0,"-",(B16/B19))</f>
        <v>0.53466422377327116</v>
      </c>
      <c r="D16" s="381">
        <f>F19</f>
        <v>7731660.8399999999</v>
      </c>
      <c r="E16" s="382">
        <f>IF(D19=0,"-",(D16/D19))</f>
        <v>0.47627830764975526</v>
      </c>
      <c r="F16" s="381">
        <v>-23112742.02</v>
      </c>
      <c r="G16" s="382">
        <f>IF(F19=0,"-",(F16/F19))</f>
        <v>-2.9893631521477864</v>
      </c>
    </row>
    <row r="17" spans="1:11" ht="15.75">
      <c r="A17" s="380" t="s">
        <v>41</v>
      </c>
      <c r="B17" s="384"/>
      <c r="C17" s="382">
        <f>IF(B19=0,"-",(B17/B19))</f>
        <v>0</v>
      </c>
      <c r="D17" s="384">
        <v>-23112742.02</v>
      </c>
      <c r="E17" s="382">
        <f>IF(D19=0,"-",(D17/D19))</f>
        <v>-1.4237688230554855</v>
      </c>
      <c r="F17" s="384"/>
      <c r="G17" s="382">
        <f>IF(F19=0,"-",(F17/F19))</f>
        <v>0</v>
      </c>
    </row>
    <row r="18" spans="1:11" ht="31.5">
      <c r="A18" s="385" t="s">
        <v>610</v>
      </c>
      <c r="B18" s="386">
        <v>14128540.85</v>
      </c>
      <c r="C18" s="387">
        <f>IF(B19=0,"-",(B18/B19))</f>
        <v>0.46533577622672884</v>
      </c>
      <c r="D18" s="386">
        <f>39346235.58-7731660.84</f>
        <v>31614574.739999998</v>
      </c>
      <c r="E18" s="387">
        <f>IF(D19=0,"-",(D18/D19))</f>
        <v>1.94749051540573</v>
      </c>
      <c r="F18" s="386">
        <v>30844402.859999999</v>
      </c>
      <c r="G18" s="387">
        <f>IF(F19=0,"-",(F18/F19))</f>
        <v>3.9893631521477864</v>
      </c>
    </row>
    <row r="19" spans="1:11" ht="15.75">
      <c r="A19" s="388" t="s">
        <v>89</v>
      </c>
      <c r="B19" s="389">
        <f>SUM(B16:B18)</f>
        <v>30362034.409999996</v>
      </c>
      <c r="C19" s="387">
        <f>IF(B19=0,"-",(B19/B19))</f>
        <v>1</v>
      </c>
      <c r="D19" s="389">
        <f>SUM(D16:D18)</f>
        <v>16233493.559999999</v>
      </c>
      <c r="E19" s="387">
        <f>IF(D19=0,"-",(D19/D19))</f>
        <v>1</v>
      </c>
      <c r="F19" s="389">
        <f>SUM(F16:F18)</f>
        <v>7731660.8399999999</v>
      </c>
      <c r="G19" s="387">
        <f>IF(F19=0,"-",(F19/F19))</f>
        <v>1</v>
      </c>
    </row>
    <row r="20" spans="1:11" ht="15.75">
      <c r="A20" s="661"/>
      <c r="B20" s="661"/>
      <c r="C20" s="661"/>
      <c r="D20" s="661"/>
      <c r="E20" s="661"/>
      <c r="F20" s="661"/>
      <c r="G20" s="661"/>
    </row>
    <row r="21" spans="1:11" ht="15.75" customHeight="1">
      <c r="A21" s="660" t="s">
        <v>180</v>
      </c>
      <c r="B21" s="660"/>
      <c r="C21" s="660"/>
      <c r="D21" s="660"/>
      <c r="E21" s="660"/>
      <c r="F21" s="660"/>
      <c r="G21" s="660"/>
      <c r="K21" s="460">
        <f>D19-16233493.56</f>
        <v>0</v>
      </c>
    </row>
    <row r="22" spans="1:11" s="12" customFormat="1" ht="25.5" customHeight="1">
      <c r="A22" s="379" t="s">
        <v>86</v>
      </c>
      <c r="B22" s="379">
        <f>Parâmetros!C10</f>
        <v>2017</v>
      </c>
      <c r="C22" s="379" t="s">
        <v>13</v>
      </c>
      <c r="D22" s="379">
        <f>B22-1</f>
        <v>2016</v>
      </c>
      <c r="E22" s="379" t="s">
        <v>13</v>
      </c>
      <c r="F22" s="379">
        <f>D22-1</f>
        <v>2015</v>
      </c>
      <c r="G22" s="392" t="s">
        <v>13</v>
      </c>
    </row>
    <row r="23" spans="1:11" ht="15.75">
      <c r="A23" s="380" t="s">
        <v>87</v>
      </c>
      <c r="B23" s="381">
        <f>B9+B16</f>
        <v>35644973.659999996</v>
      </c>
      <c r="C23" s="382">
        <f>IF(B26=0,"-",(B23/B26))</f>
        <v>0.32687948874710915</v>
      </c>
      <c r="D23" s="381">
        <f>D9+D16</f>
        <v>33621566.709999993</v>
      </c>
      <c r="E23" s="382">
        <f>IF(D26=0,"-",(D23/D26))</f>
        <v>0.94323443834465148</v>
      </c>
      <c r="F23" s="381">
        <f>F9+F16</f>
        <v>-10368577.85</v>
      </c>
      <c r="G23" s="382">
        <f>IF(F26=0,"-",(F23/F26))</f>
        <v>-0.30839068088150967</v>
      </c>
    </row>
    <row r="24" spans="1:11" ht="15.75">
      <c r="A24" s="380" t="s">
        <v>41</v>
      </c>
      <c r="B24" s="390">
        <f>B10+B17</f>
        <v>43865003.690000005</v>
      </c>
      <c r="C24" s="382">
        <f>IF(B26=0,"-",(B24/B26))</f>
        <v>0.40226064176245097</v>
      </c>
      <c r="D24" s="390">
        <f>D10+D17</f>
        <v>-36258483.719999999</v>
      </c>
      <c r="E24" s="382">
        <f>IF(D26=0,"-",(D24/D26))</f>
        <v>-1.0172116850429453</v>
      </c>
      <c r="F24" s="390">
        <f>F10+F17</f>
        <v>0</v>
      </c>
      <c r="G24" s="382">
        <f>IF(F26=0,"-",(F24/F26))</f>
        <v>0</v>
      </c>
    </row>
    <row r="25" spans="1:11" ht="15.75">
      <c r="A25" s="385" t="s">
        <v>88</v>
      </c>
      <c r="B25" s="391">
        <f>B11+B18</f>
        <v>29536245.759999998</v>
      </c>
      <c r="C25" s="387">
        <f>IF(B26=0,"-",(B25/B26))</f>
        <v>0.27085986949044</v>
      </c>
      <c r="D25" s="391">
        <f>D11+D18</f>
        <v>38281890.670000002</v>
      </c>
      <c r="E25" s="387">
        <f>IF(D26=0,"-",(D25/D26))</f>
        <v>1.0739772466982938</v>
      </c>
      <c r="F25" s="391">
        <f>F11+F18</f>
        <v>43990144.560000002</v>
      </c>
      <c r="G25" s="387">
        <f>IF(F26=0,"-",(F25/F26))</f>
        <v>1.3083906808815098</v>
      </c>
    </row>
    <row r="26" spans="1:11" ht="15.75">
      <c r="A26" s="388" t="s">
        <v>89</v>
      </c>
      <c r="B26" s="389">
        <f>SUM(B23:B25)</f>
        <v>109046223.10999998</v>
      </c>
      <c r="C26" s="387">
        <f>IF(B26=0,"-",(B26/B26))</f>
        <v>1</v>
      </c>
      <c r="D26" s="389">
        <f>SUM(D23:D25)</f>
        <v>35644973.659999996</v>
      </c>
      <c r="E26" s="387">
        <f>IF(D26=0,"-",(D26/D26))</f>
        <v>1</v>
      </c>
      <c r="F26" s="389">
        <f>SUM(F23:F25)</f>
        <v>33621566.710000001</v>
      </c>
      <c r="G26" s="387">
        <f>IF(F26=0,"-",(F26/F26))</f>
        <v>1</v>
      </c>
    </row>
    <row r="27" spans="1:11" ht="15.75">
      <c r="A27" s="655" t="s">
        <v>792</v>
      </c>
      <c r="B27" s="656"/>
      <c r="C27" s="656"/>
      <c r="D27" s="656"/>
      <c r="E27" s="656"/>
      <c r="F27" s="656"/>
      <c r="G27" s="656"/>
    </row>
  </sheetData>
  <mergeCells count="12">
    <mergeCell ref="A27:G27"/>
    <mergeCell ref="A6:G6"/>
    <mergeCell ref="A21:G21"/>
    <mergeCell ref="A20:G20"/>
    <mergeCell ref="A1:G1"/>
    <mergeCell ref="A2:G2"/>
    <mergeCell ref="A13:G13"/>
    <mergeCell ref="A14:G14"/>
    <mergeCell ref="A7:B7"/>
    <mergeCell ref="A3:G3"/>
    <mergeCell ref="A4:G4"/>
    <mergeCell ref="A5:G5"/>
  </mergeCells>
  <phoneticPr fontId="25" type="noConversion"/>
  <pageMargins left="0.78740157499999996" right="0.78740157499999996" top="0.984251969" bottom="0.984251969" header="0.49212598499999999" footer="0.49212598499999999"/>
  <pageSetup scale="84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5"/>
  <dimension ref="A1:D27"/>
  <sheetViews>
    <sheetView zoomScale="90" zoomScaleNormal="90" zoomScaleSheetLayoutView="90" workbookViewId="0">
      <selection activeCell="E36" sqref="E36"/>
    </sheetView>
  </sheetViews>
  <sheetFormatPr defaultRowHeight="14.25"/>
  <cols>
    <col min="1" max="1" width="64" style="13" customWidth="1"/>
    <col min="2" max="3" width="14.7109375" style="13" customWidth="1"/>
    <col min="4" max="4" width="15.7109375" style="13" customWidth="1"/>
    <col min="5" max="16384" width="9.140625" style="13"/>
  </cols>
  <sheetData>
    <row r="1" spans="1:4" ht="15.75">
      <c r="A1" s="662" t="str">
        <f>Parâmetros!A7</f>
        <v>Município de : PORTÃO/RS</v>
      </c>
      <c r="B1" s="658"/>
      <c r="C1" s="658"/>
      <c r="D1" s="659"/>
    </row>
    <row r="2" spans="1:4" ht="15.75">
      <c r="A2" s="657" t="s">
        <v>36</v>
      </c>
      <c r="B2" s="658"/>
      <c r="C2" s="658"/>
      <c r="D2" s="659"/>
    </row>
    <row r="3" spans="1:4" ht="15.75">
      <c r="A3" s="657" t="str">
        <f>'Metas Cons'!A3:M3</f>
        <v>ANEXO DE METAS FISCAIS</v>
      </c>
      <c r="B3" s="658"/>
      <c r="C3" s="658"/>
      <c r="D3" s="659"/>
    </row>
    <row r="4" spans="1:4" ht="15.75">
      <c r="A4" s="666" t="s">
        <v>490</v>
      </c>
      <c r="B4" s="667"/>
      <c r="C4" s="667"/>
      <c r="D4" s="668"/>
    </row>
    <row r="5" spans="1:4" ht="15.75">
      <c r="A5" s="657" t="s">
        <v>602</v>
      </c>
      <c r="B5" s="658"/>
      <c r="C5" s="658"/>
      <c r="D5" s="659"/>
    </row>
    <row r="6" spans="1:4" ht="15.75">
      <c r="A6" s="657"/>
      <c r="B6" s="658"/>
      <c r="C6" s="658"/>
      <c r="D6" s="659"/>
    </row>
    <row r="7" spans="1:4" ht="15.75">
      <c r="A7" s="393" t="s">
        <v>495</v>
      </c>
      <c r="B7" s="394"/>
      <c r="C7" s="394"/>
      <c r="D7" s="395">
        <v>1</v>
      </c>
    </row>
    <row r="8" spans="1:4" s="14" customFormat="1" ht="25.5" customHeight="1">
      <c r="A8" s="379" t="s">
        <v>91</v>
      </c>
      <c r="B8" s="379">
        <f>Parâmetros!C10</f>
        <v>2017</v>
      </c>
      <c r="C8" s="379">
        <f>B8-1</f>
        <v>2016</v>
      </c>
      <c r="D8" s="392">
        <f>C8-1</f>
        <v>2015</v>
      </c>
    </row>
    <row r="9" spans="1:4" s="14" customFormat="1" ht="25.5" customHeight="1">
      <c r="A9" s="396" t="s">
        <v>611</v>
      </c>
      <c r="B9" s="397"/>
      <c r="C9" s="397">
        <v>0</v>
      </c>
      <c r="D9" s="398">
        <v>0</v>
      </c>
    </row>
    <row r="10" spans="1:4" ht="12.75" customHeight="1">
      <c r="A10" s="399" t="s">
        <v>633</v>
      </c>
      <c r="B10" s="400">
        <f>B11+B12</f>
        <v>0</v>
      </c>
      <c r="C10" s="400">
        <f>C11+C12</f>
        <v>0</v>
      </c>
      <c r="D10" s="400">
        <f>D11+D12</f>
        <v>82265</v>
      </c>
    </row>
    <row r="11" spans="1:4" ht="12.75" customHeight="1">
      <c r="A11" s="401" t="s">
        <v>92</v>
      </c>
      <c r="B11" s="402">
        <f>Projeções!E83</f>
        <v>0</v>
      </c>
      <c r="C11" s="402">
        <f>Projeções!D83</f>
        <v>0</v>
      </c>
      <c r="D11" s="402">
        <f>Projeções!C83</f>
        <v>82265</v>
      </c>
    </row>
    <row r="12" spans="1:4" ht="12.75" customHeight="1">
      <c r="A12" s="403" t="s">
        <v>93</v>
      </c>
      <c r="B12" s="402">
        <f>Projeções!E84</f>
        <v>0</v>
      </c>
      <c r="C12" s="402">
        <f>Projeções!D84</f>
        <v>0</v>
      </c>
      <c r="D12" s="402">
        <f>Projeções!C84</f>
        <v>0</v>
      </c>
    </row>
    <row r="13" spans="1:4" ht="15.75" customHeight="1">
      <c r="A13" s="403" t="s">
        <v>142</v>
      </c>
      <c r="B13" s="404">
        <v>0</v>
      </c>
      <c r="C13" s="404">
        <v>0</v>
      </c>
      <c r="D13" s="404">
        <v>0</v>
      </c>
    </row>
    <row r="14" spans="1:4" ht="15.75">
      <c r="A14" s="669"/>
      <c r="B14" s="669"/>
      <c r="C14" s="669"/>
      <c r="D14" s="669"/>
    </row>
    <row r="15" spans="1:4" s="14" customFormat="1">
      <c r="A15" s="671" t="s">
        <v>162</v>
      </c>
      <c r="B15" s="673">
        <f>Parâmetros!C10</f>
        <v>2017</v>
      </c>
      <c r="C15" s="673">
        <f>B15-1</f>
        <v>2016</v>
      </c>
      <c r="D15" s="675">
        <f>C15-1</f>
        <v>2015</v>
      </c>
    </row>
    <row r="16" spans="1:4" s="14" customFormat="1">
      <c r="A16" s="672"/>
      <c r="B16" s="674"/>
      <c r="C16" s="674"/>
      <c r="D16" s="676"/>
    </row>
    <row r="17" spans="1:4" ht="31.5">
      <c r="A17" s="399" t="s">
        <v>612</v>
      </c>
      <c r="B17" s="405">
        <f>B18+B22</f>
        <v>0</v>
      </c>
      <c r="C17" s="405">
        <f>C18+C22</f>
        <v>0</v>
      </c>
      <c r="D17" s="405">
        <f>D18+D22</f>
        <v>0</v>
      </c>
    </row>
    <row r="18" spans="1:4" ht="15.75">
      <c r="A18" s="401" t="s">
        <v>94</v>
      </c>
      <c r="B18" s="406">
        <f>B19+B20+B21</f>
        <v>0</v>
      </c>
      <c r="C18" s="406">
        <f>C19+C20+C21</f>
        <v>0</v>
      </c>
      <c r="D18" s="407">
        <f>D19+D20+D21</f>
        <v>0</v>
      </c>
    </row>
    <row r="19" spans="1:4" ht="15.75">
      <c r="A19" s="401" t="s">
        <v>95</v>
      </c>
      <c r="B19" s="408">
        <v>0</v>
      </c>
      <c r="C19" s="408">
        <v>0</v>
      </c>
      <c r="D19" s="409">
        <v>0</v>
      </c>
    </row>
    <row r="20" spans="1:4" ht="15.75">
      <c r="A20" s="401" t="s">
        <v>96</v>
      </c>
      <c r="B20" s="408">
        <v>0</v>
      </c>
      <c r="C20" s="408">
        <v>0</v>
      </c>
      <c r="D20" s="409">
        <v>0</v>
      </c>
    </row>
    <row r="21" spans="1:4" ht="15.75">
      <c r="A21" s="401" t="s">
        <v>97</v>
      </c>
      <c r="B21" s="408">
        <v>0</v>
      </c>
      <c r="C21" s="408">
        <v>0</v>
      </c>
      <c r="D21" s="409">
        <v>0</v>
      </c>
    </row>
    <row r="22" spans="1:4" ht="15.75">
      <c r="A22" s="401" t="s">
        <v>98</v>
      </c>
      <c r="B22" s="406">
        <f>B23+B24</f>
        <v>0</v>
      </c>
      <c r="C22" s="406">
        <f>C23+C24</f>
        <v>0</v>
      </c>
      <c r="D22" s="407">
        <f>D23+D24</f>
        <v>0</v>
      </c>
    </row>
    <row r="23" spans="1:4" ht="15.75">
      <c r="A23" s="401" t="s">
        <v>99</v>
      </c>
      <c r="B23" s="408">
        <v>0</v>
      </c>
      <c r="C23" s="408">
        <v>0</v>
      </c>
      <c r="D23" s="409">
        <v>0</v>
      </c>
    </row>
    <row r="24" spans="1:4" ht="15.75">
      <c r="A24" s="403" t="s">
        <v>100</v>
      </c>
      <c r="B24" s="410">
        <v>0</v>
      </c>
      <c r="C24" s="410">
        <v>0</v>
      </c>
      <c r="D24" s="411">
        <v>0</v>
      </c>
    </row>
    <row r="25" spans="1:4" ht="15.75">
      <c r="A25" s="412" t="s">
        <v>101</v>
      </c>
      <c r="B25" s="413"/>
      <c r="C25" s="413"/>
      <c r="D25" s="414"/>
    </row>
    <row r="26" spans="1:4" ht="15.75">
      <c r="A26" s="415" t="s">
        <v>613</v>
      </c>
      <c r="B26" s="416">
        <f>C26+B10+B13-B17</f>
        <v>82265</v>
      </c>
      <c r="C26" s="416">
        <f>D26+C10+C13-C17</f>
        <v>82265</v>
      </c>
      <c r="D26" s="416">
        <f>D9+D10+D13-D17</f>
        <v>82265</v>
      </c>
    </row>
    <row r="27" spans="1:4" ht="15.75">
      <c r="A27" s="670" t="s">
        <v>792</v>
      </c>
      <c r="B27" s="670"/>
      <c r="C27" s="670"/>
      <c r="D27" s="670"/>
    </row>
  </sheetData>
  <mergeCells count="12">
    <mergeCell ref="A14:D14"/>
    <mergeCell ref="A27:D27"/>
    <mergeCell ref="A15:A16"/>
    <mergeCell ref="B15:B16"/>
    <mergeCell ref="C15:C16"/>
    <mergeCell ref="D15:D16"/>
    <mergeCell ref="A5:D5"/>
    <mergeCell ref="A6:D6"/>
    <mergeCell ref="A1:D1"/>
    <mergeCell ref="A2:D2"/>
    <mergeCell ref="A3:D3"/>
    <mergeCell ref="A4:D4"/>
  </mergeCells>
  <phoneticPr fontId="25" type="noConversion"/>
  <pageMargins left="0.78740157480314965" right="0.78740157480314965" top="0.98425196850393704" bottom="0.98425196850393704" header="0.51181102362204722" footer="0.51181102362204722"/>
  <pageSetup scale="84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88"/>
  <sheetViews>
    <sheetView topLeftCell="A70" workbookViewId="0">
      <selection activeCell="P22" sqref="P22"/>
    </sheetView>
  </sheetViews>
  <sheetFormatPr defaultRowHeight="11.25" customHeight="1"/>
  <cols>
    <col min="1" max="1" width="59.28515625" style="41" customWidth="1"/>
    <col min="2" max="2" width="13.85546875" style="41" customWidth="1"/>
    <col min="3" max="3" width="7.140625" style="41" customWidth="1"/>
    <col min="4" max="4" width="18.5703125" style="41" hidden="1" customWidth="1"/>
    <col min="5" max="5" width="12.85546875" style="41" hidden="1" customWidth="1"/>
    <col min="6" max="6" width="12.85546875" style="41" customWidth="1"/>
    <col min="7" max="7" width="7.140625" style="41" customWidth="1"/>
    <col min="8" max="8" width="12.85546875" style="41" customWidth="1"/>
    <col min="9" max="9" width="6.28515625" style="41" customWidth="1"/>
    <col min="10" max="12" width="9.140625" style="41"/>
    <col min="13" max="13" width="10.7109375" style="41" bestFit="1" customWidth="1"/>
    <col min="14" max="14" width="9.140625" style="41"/>
    <col min="15" max="15" width="9.28515625" style="41" bestFit="1" customWidth="1"/>
    <col min="16" max="16" width="11.5703125" style="41" customWidth="1"/>
    <col min="17" max="18" width="9.140625" style="41"/>
    <col min="19" max="19" width="17.28515625" style="41" customWidth="1"/>
    <col min="20" max="16384" width="9.140625" style="41"/>
  </cols>
  <sheetData>
    <row r="1" spans="1:22" ht="11.25" customHeight="1">
      <c r="A1" s="735" t="str">
        <f>Parâmetros!A7</f>
        <v>Município de : PORTÃO/RS</v>
      </c>
      <c r="B1" s="736"/>
      <c r="C1" s="736"/>
      <c r="D1" s="736"/>
      <c r="E1" s="736"/>
      <c r="F1" s="736"/>
      <c r="G1" s="736"/>
      <c r="H1" s="135"/>
      <c r="I1" s="135"/>
    </row>
    <row r="2" spans="1:22" s="34" customFormat="1" ht="11.25" customHeight="1">
      <c r="A2" s="736" t="s">
        <v>36</v>
      </c>
      <c r="B2" s="736"/>
      <c r="C2" s="736"/>
      <c r="D2" s="736"/>
      <c r="E2" s="736"/>
      <c r="F2" s="736"/>
      <c r="G2" s="736"/>
      <c r="H2" s="135"/>
      <c r="I2" s="135"/>
    </row>
    <row r="3" spans="1:22" ht="11.25" customHeight="1">
      <c r="A3" s="736" t="s">
        <v>154</v>
      </c>
      <c r="B3" s="736"/>
      <c r="C3" s="736"/>
      <c r="D3" s="736"/>
      <c r="E3" s="736"/>
      <c r="F3" s="736"/>
      <c r="G3" s="736"/>
      <c r="H3" s="135"/>
      <c r="I3" s="135"/>
    </row>
    <row r="4" spans="1:22" ht="11.25" customHeight="1">
      <c r="A4" s="737" t="s">
        <v>472</v>
      </c>
      <c r="B4" s="737"/>
      <c r="C4" s="737"/>
      <c r="D4" s="737"/>
      <c r="E4" s="737"/>
      <c r="F4" s="737"/>
      <c r="G4" s="737"/>
      <c r="H4" s="135"/>
      <c r="I4" s="135"/>
    </row>
    <row r="5" spans="1:22" s="34" customFormat="1" ht="11.25" customHeight="1">
      <c r="A5" s="736" t="s">
        <v>598</v>
      </c>
      <c r="B5" s="736"/>
      <c r="C5" s="736"/>
      <c r="D5" s="736"/>
      <c r="E5" s="736"/>
      <c r="F5" s="736"/>
      <c r="G5" s="736"/>
      <c r="H5" s="135"/>
      <c r="I5" s="135"/>
    </row>
    <row r="6" spans="1:22" s="34" customFormat="1" ht="5.25" customHeight="1">
      <c r="A6" s="738"/>
      <c r="B6" s="738"/>
      <c r="C6" s="738"/>
      <c r="D6" s="738"/>
      <c r="E6" s="738"/>
      <c r="F6" s="738"/>
      <c r="G6" s="739"/>
      <c r="H6" s="135"/>
      <c r="I6" s="135"/>
    </row>
    <row r="7" spans="1:22" s="35" customFormat="1" ht="11.25" customHeight="1" thickBot="1">
      <c r="A7" s="721" t="s">
        <v>411</v>
      </c>
      <c r="B7" s="721"/>
      <c r="C7" s="721"/>
      <c r="D7" s="721"/>
      <c r="E7" s="721"/>
      <c r="F7" s="721"/>
      <c r="G7" s="721"/>
      <c r="H7" s="719">
        <v>1</v>
      </c>
      <c r="I7" s="719"/>
    </row>
    <row r="8" spans="1:22" s="35" customFormat="1" ht="11.25" customHeight="1" thickBot="1">
      <c r="A8" s="720" t="s">
        <v>412</v>
      </c>
      <c r="B8" s="720"/>
      <c r="C8" s="720"/>
      <c r="D8" s="720"/>
      <c r="E8" s="720"/>
      <c r="F8" s="720"/>
      <c r="G8" s="720"/>
      <c r="H8" s="720"/>
      <c r="I8" s="720"/>
      <c r="M8" s="419" t="s">
        <v>471</v>
      </c>
      <c r="N8" s="419"/>
      <c r="O8" s="419"/>
      <c r="P8" s="419"/>
      <c r="Q8" s="419"/>
      <c r="R8" s="419"/>
      <c r="S8" s="419"/>
      <c r="T8" s="34"/>
      <c r="U8" s="34"/>
      <c r="V8" s="34"/>
    </row>
    <row r="9" spans="1:22" s="34" customFormat="1" ht="11.25" customHeight="1">
      <c r="A9" s="716" t="s">
        <v>413</v>
      </c>
      <c r="B9" s="717"/>
      <c r="C9" s="717"/>
      <c r="D9" s="717"/>
      <c r="E9" s="717"/>
      <c r="F9" s="717"/>
      <c r="G9" s="717"/>
      <c r="H9" s="717"/>
      <c r="I9" s="717"/>
      <c r="P9" s="35"/>
      <c r="Q9" s="173" t="s">
        <v>154</v>
      </c>
      <c r="R9" s="174"/>
    </row>
    <row r="10" spans="1:22" s="34" customFormat="1" ht="11.25" customHeight="1">
      <c r="A10" s="175"/>
      <c r="B10" s="680">
        <f>Parâmetros!C10</f>
        <v>2017</v>
      </c>
      <c r="C10" s="693"/>
      <c r="D10" s="693"/>
      <c r="E10" s="681"/>
      <c r="F10" s="684">
        <f>B10-1</f>
        <v>2016</v>
      </c>
      <c r="G10" s="685"/>
      <c r="H10" s="684">
        <f>F10-1</f>
        <v>2015</v>
      </c>
      <c r="I10" s="685"/>
      <c r="M10" s="35"/>
      <c r="N10" s="35"/>
      <c r="O10" s="174"/>
      <c r="P10" s="35"/>
      <c r="Q10" s="173" t="s">
        <v>781</v>
      </c>
      <c r="R10" s="174"/>
      <c r="S10" s="174"/>
    </row>
    <row r="11" spans="1:22" s="34" customFormat="1" ht="11.25" customHeight="1">
      <c r="A11" s="176" t="s">
        <v>415</v>
      </c>
      <c r="B11" s="711">
        <f>B12+B21+B33</f>
        <v>19517050.689999998</v>
      </c>
      <c r="C11" s="714"/>
      <c r="D11" s="177"/>
      <c r="E11" s="178"/>
      <c r="F11" s="711">
        <f>F12+F21+F33</f>
        <v>20251135.5</v>
      </c>
      <c r="G11" s="714"/>
      <c r="H11" s="711">
        <f>H12+H21+H33</f>
        <v>11853593.369999999</v>
      </c>
      <c r="I11" s="714"/>
      <c r="M11" s="35"/>
      <c r="N11" s="35"/>
      <c r="O11" s="174"/>
      <c r="Q11" s="173" t="s">
        <v>782</v>
      </c>
      <c r="R11" s="174"/>
      <c r="S11" s="174"/>
      <c r="T11" s="35"/>
      <c r="U11" s="35"/>
      <c r="V11" s="35"/>
    </row>
    <row r="12" spans="1:22" s="34" customFormat="1" ht="11.25" customHeight="1">
      <c r="A12" s="179" t="s">
        <v>416</v>
      </c>
      <c r="B12" s="711">
        <v>56388.06</v>
      </c>
      <c r="C12" s="711"/>
      <c r="D12" s="180"/>
      <c r="E12" s="180"/>
      <c r="F12" s="711">
        <v>78218.64</v>
      </c>
      <c r="G12" s="711"/>
      <c r="H12" s="711">
        <v>123617.67</v>
      </c>
      <c r="I12" s="711"/>
      <c r="M12" s="420" t="s">
        <v>783</v>
      </c>
      <c r="N12" s="421"/>
      <c r="O12" s="421"/>
      <c r="P12" s="421"/>
      <c r="Q12" s="422"/>
      <c r="R12" s="422"/>
      <c r="S12" s="423">
        <v>1</v>
      </c>
    </row>
    <row r="13" spans="1:22" s="34" customFormat="1" ht="7.5" customHeight="1">
      <c r="A13" s="181" t="s">
        <v>417</v>
      </c>
      <c r="B13" s="711"/>
      <c r="C13" s="711"/>
      <c r="D13" s="180"/>
      <c r="E13" s="180"/>
      <c r="F13" s="711"/>
      <c r="G13" s="711"/>
      <c r="H13" s="711"/>
      <c r="I13" s="711"/>
      <c r="M13" s="424" t="s">
        <v>102</v>
      </c>
      <c r="N13" s="425" t="s">
        <v>784</v>
      </c>
      <c r="O13" s="426"/>
      <c r="P13" s="427" t="s">
        <v>785</v>
      </c>
      <c r="Q13" s="425" t="s">
        <v>786</v>
      </c>
      <c r="R13" s="426"/>
      <c r="S13" s="428" t="s">
        <v>101</v>
      </c>
    </row>
    <row r="14" spans="1:22" s="34" customFormat="1" ht="11.25" customHeight="1">
      <c r="A14" s="182" t="s">
        <v>418</v>
      </c>
      <c r="B14" s="711"/>
      <c r="C14" s="711"/>
      <c r="D14" s="180"/>
      <c r="E14" s="180"/>
      <c r="F14" s="711"/>
      <c r="G14" s="711"/>
      <c r="H14" s="711"/>
      <c r="I14" s="711"/>
      <c r="M14" s="429"/>
      <c r="N14" s="430"/>
      <c r="O14" s="431"/>
      <c r="P14" s="430"/>
      <c r="Q14" s="430"/>
      <c r="R14" s="431"/>
      <c r="S14" s="432" t="s">
        <v>787</v>
      </c>
    </row>
    <row r="15" spans="1:22" s="34" customFormat="1" ht="11.25" customHeight="1">
      <c r="A15" s="182" t="s">
        <v>419</v>
      </c>
      <c r="B15" s="711"/>
      <c r="C15" s="711"/>
      <c r="D15" s="180"/>
      <c r="E15" s="180"/>
      <c r="F15" s="711"/>
      <c r="G15" s="711"/>
      <c r="H15" s="711"/>
      <c r="I15" s="711"/>
      <c r="M15" s="432"/>
      <c r="N15" s="433" t="s">
        <v>64</v>
      </c>
      <c r="O15" s="434"/>
      <c r="P15" s="435" t="s">
        <v>66</v>
      </c>
      <c r="Q15" s="433" t="s">
        <v>788</v>
      </c>
      <c r="R15" s="434"/>
      <c r="S15" s="432" t="s">
        <v>789</v>
      </c>
    </row>
    <row r="16" spans="1:22" s="34" customFormat="1" ht="11.25" customHeight="1">
      <c r="A16" s="182" t="s">
        <v>420</v>
      </c>
      <c r="B16" s="711"/>
      <c r="C16" s="711"/>
      <c r="D16" s="180"/>
      <c r="E16" s="180"/>
      <c r="F16" s="711"/>
      <c r="G16" s="711"/>
      <c r="H16" s="711"/>
      <c r="I16" s="711"/>
      <c r="M16" s="436"/>
      <c r="N16" s="437"/>
      <c r="O16" s="438"/>
      <c r="P16" s="439"/>
      <c r="Q16" s="439"/>
      <c r="R16" s="450"/>
      <c r="S16" s="436" t="s">
        <v>790</v>
      </c>
    </row>
    <row r="17" spans="1:19" s="34" customFormat="1" ht="12.75" customHeight="1">
      <c r="A17" s="181" t="s">
        <v>421</v>
      </c>
      <c r="B17" s="711"/>
      <c r="C17" s="711"/>
      <c r="D17" s="180"/>
      <c r="E17" s="180"/>
      <c r="F17" s="711"/>
      <c r="G17" s="711"/>
      <c r="H17" s="711"/>
      <c r="I17" s="711"/>
      <c r="N17" s="457"/>
    </row>
    <row r="18" spans="1:19" s="34" customFormat="1" ht="11.25" customHeight="1">
      <c r="A18" s="182" t="s">
        <v>418</v>
      </c>
      <c r="B18" s="711"/>
      <c r="C18" s="711"/>
      <c r="D18" s="180"/>
      <c r="E18" s="180"/>
      <c r="F18" s="711"/>
      <c r="G18" s="711"/>
      <c r="H18" s="711"/>
      <c r="I18" s="711"/>
      <c r="M18" s="440">
        <v>2017</v>
      </c>
      <c r="N18" s="449"/>
      <c r="O18" s="458">
        <v>14532778</v>
      </c>
      <c r="P18" s="441">
        <v>8152144</v>
      </c>
      <c r="Q18" s="741">
        <v>6380634</v>
      </c>
      <c r="R18" s="742"/>
      <c r="S18" s="442">
        <f>Q18</f>
        <v>6380634</v>
      </c>
    </row>
    <row r="19" spans="1:19" s="34" customFormat="1" ht="11.25" customHeight="1">
      <c r="A19" s="182" t="s">
        <v>419</v>
      </c>
      <c r="B19" s="711"/>
      <c r="C19" s="711"/>
      <c r="D19" s="180"/>
      <c r="E19" s="180"/>
      <c r="F19" s="711"/>
      <c r="G19" s="711"/>
      <c r="H19" s="711"/>
      <c r="I19" s="711"/>
      <c r="M19" s="440">
        <v>2018</v>
      </c>
      <c r="N19" s="449"/>
      <c r="O19" s="458">
        <v>15909694.65</v>
      </c>
      <c r="P19" s="441">
        <v>10525599.76</v>
      </c>
      <c r="Q19" s="741">
        <v>5384094.8899999997</v>
      </c>
      <c r="R19" s="742"/>
      <c r="S19" s="442">
        <v>12147566.93</v>
      </c>
    </row>
    <row r="20" spans="1:19" s="34" customFormat="1" ht="11.25" customHeight="1">
      <c r="A20" s="182"/>
      <c r="B20" s="711"/>
      <c r="C20" s="711"/>
      <c r="D20" s="180"/>
      <c r="E20" s="180"/>
      <c r="F20" s="711"/>
      <c r="G20" s="711"/>
      <c r="H20" s="711"/>
      <c r="I20" s="711"/>
      <c r="M20" s="440">
        <v>2019</v>
      </c>
      <c r="N20" s="443"/>
      <c r="O20" s="459">
        <v>15988256.5</v>
      </c>
      <c r="P20" s="444">
        <v>10908828.32</v>
      </c>
      <c r="Q20" s="741">
        <v>5079428.18</v>
      </c>
      <c r="R20" s="742"/>
      <c r="S20" s="444">
        <v>17955849.129999999</v>
      </c>
    </row>
    <row r="21" spans="1:19" s="34" customFormat="1" ht="11.25" customHeight="1">
      <c r="A21" s="183" t="s">
        <v>422</v>
      </c>
      <c r="B21" s="711">
        <f>B23+B30</f>
        <v>8372821.3799999999</v>
      </c>
      <c r="C21" s="711"/>
      <c r="D21" s="180"/>
      <c r="E21" s="180"/>
      <c r="F21" s="711">
        <f>F23+F30</f>
        <v>7976531.4700000007</v>
      </c>
      <c r="G21" s="711"/>
      <c r="H21" s="711">
        <f>H22+H30</f>
        <v>4586654.1499999994</v>
      </c>
      <c r="I21" s="711"/>
      <c r="M21" s="440">
        <v>2020</v>
      </c>
      <c r="N21" s="443"/>
      <c r="O21" s="459">
        <v>16109670.279999999</v>
      </c>
      <c r="P21" s="444">
        <v>11501090.640000001</v>
      </c>
      <c r="Q21" s="741">
        <v>4608579.6399999997</v>
      </c>
      <c r="R21" s="742"/>
      <c r="S21" s="444">
        <v>23641779.719999999</v>
      </c>
    </row>
    <row r="22" spans="1:19" s="34" customFormat="1" ht="11.25" customHeight="1">
      <c r="A22" s="181" t="s">
        <v>417</v>
      </c>
      <c r="B22" s="711">
        <f>B23</f>
        <v>6254707.0800000001</v>
      </c>
      <c r="C22" s="711"/>
      <c r="D22" s="180"/>
      <c r="E22" s="180"/>
      <c r="F22" s="711">
        <f>F23</f>
        <v>6374175.7200000007</v>
      </c>
      <c r="G22" s="711"/>
      <c r="H22" s="711">
        <f>H23</f>
        <v>4319714.93</v>
      </c>
      <c r="I22" s="711"/>
      <c r="M22" s="440">
        <v>2021</v>
      </c>
      <c r="N22" s="443"/>
      <c r="O22" s="459">
        <v>16209658.09</v>
      </c>
      <c r="P22" s="444">
        <v>11988836.08</v>
      </c>
      <c r="Q22" s="741">
        <v>4220822.01</v>
      </c>
      <c r="R22" s="742"/>
      <c r="S22" s="444">
        <v>29281108.510000002</v>
      </c>
    </row>
    <row r="23" spans="1:19" s="34" customFormat="1" ht="11.25" customHeight="1">
      <c r="A23" s="182" t="s">
        <v>418</v>
      </c>
      <c r="B23" s="711">
        <f>4521392.38+1733314.7</f>
        <v>6254707.0800000001</v>
      </c>
      <c r="C23" s="711"/>
      <c r="D23" s="180"/>
      <c r="E23" s="180"/>
      <c r="F23" s="711">
        <f>4871717.74+1502457.98</f>
        <v>6374175.7200000007</v>
      </c>
      <c r="G23" s="711"/>
      <c r="H23" s="711">
        <v>4319714.93</v>
      </c>
      <c r="I23" s="711"/>
      <c r="M23" s="440">
        <v>2022</v>
      </c>
      <c r="N23" s="443"/>
      <c r="O23" s="459">
        <v>16323929.880000001</v>
      </c>
      <c r="P23" s="444">
        <v>12546259.439999999</v>
      </c>
      <c r="Q23" s="741">
        <v>3777670.44</v>
      </c>
      <c r="R23" s="742"/>
      <c r="S23" s="444">
        <v>34815645.469999999</v>
      </c>
    </row>
    <row r="24" spans="1:19" s="34" customFormat="1" ht="11.25" customHeight="1">
      <c r="A24" s="182" t="s">
        <v>419</v>
      </c>
      <c r="B24" s="711"/>
      <c r="C24" s="711"/>
      <c r="D24" s="180"/>
      <c r="E24" s="180"/>
      <c r="F24" s="711"/>
      <c r="G24" s="711"/>
      <c r="H24" s="711"/>
      <c r="I24" s="711"/>
      <c r="M24" s="440">
        <v>2023</v>
      </c>
      <c r="N24" s="445"/>
      <c r="O24" s="458">
        <v>16423917.699999999</v>
      </c>
      <c r="P24" s="444">
        <v>13034004.880000001</v>
      </c>
      <c r="Q24" s="741">
        <v>3389912.82</v>
      </c>
      <c r="R24" s="742"/>
      <c r="S24" s="444">
        <v>40294497.020000003</v>
      </c>
    </row>
    <row r="25" spans="1:19" s="34" customFormat="1" ht="11.25" customHeight="1">
      <c r="A25" s="182" t="s">
        <v>420</v>
      </c>
      <c r="B25" s="711"/>
      <c r="C25" s="711"/>
      <c r="D25" s="180"/>
      <c r="E25" s="180"/>
      <c r="F25" s="711"/>
      <c r="G25" s="711"/>
      <c r="H25" s="711"/>
      <c r="I25" s="711"/>
      <c r="M25" s="440">
        <v>2024</v>
      </c>
      <c r="N25" s="443"/>
      <c r="O25" s="459">
        <v>16495337.57</v>
      </c>
      <c r="P25" s="444">
        <v>13382394.48</v>
      </c>
      <c r="Q25" s="741">
        <v>3112943.09</v>
      </c>
      <c r="R25" s="742"/>
      <c r="S25" s="444">
        <v>45825109.920000002</v>
      </c>
    </row>
    <row r="26" spans="1:19" s="34" customFormat="1" ht="11.25" customHeight="1">
      <c r="A26" s="181" t="s">
        <v>421</v>
      </c>
      <c r="B26" s="711"/>
      <c r="C26" s="711"/>
      <c r="D26" s="180"/>
      <c r="E26" s="180"/>
      <c r="F26" s="711"/>
      <c r="G26" s="711"/>
      <c r="H26" s="711"/>
      <c r="I26" s="711"/>
      <c r="M26" s="440">
        <v>2025</v>
      </c>
      <c r="N26" s="443"/>
      <c r="O26" s="459">
        <v>16623893.33</v>
      </c>
      <c r="P26" s="444">
        <v>14009495.76</v>
      </c>
      <c r="Q26" s="741">
        <v>2614397.5699999998</v>
      </c>
      <c r="R26" s="742"/>
      <c r="S26" s="444">
        <v>51189014.090000004</v>
      </c>
    </row>
    <row r="27" spans="1:19" s="34" customFormat="1" ht="11.25" customHeight="1">
      <c r="A27" s="182" t="s">
        <v>418</v>
      </c>
      <c r="B27" s="711"/>
      <c r="C27" s="711"/>
      <c r="D27" s="180"/>
      <c r="E27" s="180"/>
      <c r="F27" s="711"/>
      <c r="G27" s="711"/>
      <c r="H27" s="711"/>
      <c r="I27" s="711"/>
      <c r="M27" s="440">
        <v>2026</v>
      </c>
      <c r="N27" s="443"/>
      <c r="O27" s="459">
        <v>16766733.07</v>
      </c>
      <c r="P27" s="444">
        <v>14706274.960000001</v>
      </c>
      <c r="Q27" s="741">
        <v>2060458.11</v>
      </c>
      <c r="R27" s="742"/>
      <c r="S27" s="444">
        <v>56320813.039999999</v>
      </c>
    </row>
    <row r="28" spans="1:19" s="34" customFormat="1" ht="11.25" customHeight="1">
      <c r="A28" s="182" t="s">
        <v>419</v>
      </c>
      <c r="B28" s="711"/>
      <c r="C28" s="711"/>
      <c r="D28" s="180"/>
      <c r="E28" s="180"/>
      <c r="F28" s="711"/>
      <c r="G28" s="711"/>
      <c r="H28" s="711"/>
      <c r="I28" s="711"/>
      <c r="M28" s="440">
        <v>2027</v>
      </c>
      <c r="N28" s="443"/>
      <c r="O28" s="459">
        <v>16916714.789999999</v>
      </c>
      <c r="P28" s="444">
        <v>15437893.119999999</v>
      </c>
      <c r="Q28" s="741">
        <v>1478821.67</v>
      </c>
      <c r="R28" s="742"/>
      <c r="S28" s="444">
        <v>61178883.490000002</v>
      </c>
    </row>
    <row r="29" spans="1:19" s="34" customFormat="1" ht="11.25" customHeight="1">
      <c r="A29" s="182" t="s">
        <v>420</v>
      </c>
      <c r="B29" s="711"/>
      <c r="C29" s="711"/>
      <c r="D29" s="180"/>
      <c r="E29" s="180"/>
      <c r="F29" s="711"/>
      <c r="G29" s="711"/>
      <c r="H29" s="711"/>
      <c r="I29" s="711"/>
      <c r="M29" s="440">
        <v>2028</v>
      </c>
      <c r="N29" s="443"/>
      <c r="O29" s="459">
        <v>14863110.84</v>
      </c>
      <c r="P29" s="444">
        <v>15855960.640000001</v>
      </c>
      <c r="Q29" s="741">
        <v>-992849.8</v>
      </c>
      <c r="R29" s="742"/>
      <c r="S29" s="444">
        <v>63856766.689999998</v>
      </c>
    </row>
    <row r="30" spans="1:19" s="34" customFormat="1" ht="11.25" customHeight="1">
      <c r="A30" s="181" t="s">
        <v>423</v>
      </c>
      <c r="B30" s="711">
        <v>2118114.2999999998</v>
      </c>
      <c r="C30" s="711"/>
      <c r="D30" s="180"/>
      <c r="E30" s="180"/>
      <c r="F30" s="711">
        <v>1602355.75</v>
      </c>
      <c r="G30" s="711"/>
      <c r="H30" s="711">
        <v>266939.21999999997</v>
      </c>
      <c r="I30" s="711"/>
      <c r="M30" s="440">
        <v>2029</v>
      </c>
      <c r="N30" s="443"/>
      <c r="O30" s="459">
        <v>14998808.59</v>
      </c>
      <c r="P30" s="444">
        <v>16517900.880000001</v>
      </c>
      <c r="Q30" s="741">
        <v>-1519092.29</v>
      </c>
      <c r="R30" s="742"/>
      <c r="S30" s="444">
        <v>66169080.399999999</v>
      </c>
    </row>
    <row r="31" spans="1:19" s="34" customFormat="1" ht="11.25" customHeight="1">
      <c r="A31" s="179" t="s">
        <v>239</v>
      </c>
      <c r="B31" s="711"/>
      <c r="C31" s="711"/>
      <c r="D31" s="180"/>
      <c r="E31" s="180"/>
      <c r="F31" s="711"/>
      <c r="G31" s="711"/>
      <c r="H31" s="711"/>
      <c r="I31" s="711"/>
      <c r="M31" s="440">
        <v>2030</v>
      </c>
      <c r="N31" s="443"/>
      <c r="O31" s="459">
        <v>15155932.300000001</v>
      </c>
      <c r="P31" s="444">
        <v>17284358</v>
      </c>
      <c r="Q31" s="741">
        <v>-2128425.7000000002</v>
      </c>
      <c r="R31" s="742"/>
      <c r="S31" s="444">
        <v>68010799.519999996</v>
      </c>
    </row>
    <row r="32" spans="1:19" s="34" customFormat="1" ht="11.25" customHeight="1">
      <c r="A32" s="181" t="s">
        <v>424</v>
      </c>
      <c r="B32" s="711"/>
      <c r="C32" s="711"/>
      <c r="D32" s="180"/>
      <c r="E32" s="180"/>
      <c r="F32" s="711"/>
      <c r="G32" s="711"/>
      <c r="H32" s="711"/>
      <c r="I32" s="711"/>
      <c r="M32" s="440">
        <v>2031</v>
      </c>
      <c r="N32" s="443"/>
      <c r="O32" s="459">
        <v>15348765.939999999</v>
      </c>
      <c r="P32" s="444">
        <v>18225009.920000002</v>
      </c>
      <c r="Q32" s="741">
        <v>-2876243.98</v>
      </c>
      <c r="R32" s="742"/>
      <c r="S32" s="444">
        <v>69215203.519999996</v>
      </c>
    </row>
    <row r="33" spans="1:22" s="34" customFormat="1" ht="11.25" customHeight="1">
      <c r="A33" s="181" t="s">
        <v>425</v>
      </c>
      <c r="B33" s="711">
        <v>11087841.25</v>
      </c>
      <c r="C33" s="711"/>
      <c r="D33" s="180"/>
      <c r="E33" s="180"/>
      <c r="F33" s="711">
        <v>12196385.390000001</v>
      </c>
      <c r="G33" s="711"/>
      <c r="H33" s="711">
        <v>7143321.5499999998</v>
      </c>
      <c r="I33" s="711"/>
      <c r="M33" s="440">
        <v>2032</v>
      </c>
      <c r="N33" s="443"/>
      <c r="O33" s="459">
        <v>15605877.460000001</v>
      </c>
      <c r="P33" s="444">
        <v>19479212.48</v>
      </c>
      <c r="Q33" s="741">
        <v>-3873335.02</v>
      </c>
      <c r="R33" s="742"/>
      <c r="S33" s="444">
        <v>69494780.709999993</v>
      </c>
    </row>
    <row r="34" spans="1:22" s="34" customFormat="1" ht="11.25" customHeight="1">
      <c r="A34" s="181" t="s">
        <v>426</v>
      </c>
      <c r="B34" s="711"/>
      <c r="C34" s="711"/>
      <c r="D34" s="180"/>
      <c r="E34" s="180"/>
      <c r="F34" s="711"/>
      <c r="G34" s="711"/>
      <c r="H34" s="711"/>
      <c r="I34" s="711"/>
      <c r="M34" s="440">
        <v>2033</v>
      </c>
      <c r="N34" s="443"/>
      <c r="O34" s="459">
        <v>15727291.24</v>
      </c>
      <c r="P34" s="444">
        <v>20071474.800000001</v>
      </c>
      <c r="Q34" s="741">
        <v>-4344183.5599999996</v>
      </c>
      <c r="R34" s="742"/>
      <c r="S34" s="444">
        <v>69320283.989999995</v>
      </c>
    </row>
    <row r="35" spans="1:22" s="34" customFormat="1" ht="11.25" customHeight="1">
      <c r="A35" s="179" t="s">
        <v>262</v>
      </c>
      <c r="B35" s="711"/>
      <c r="C35" s="711"/>
      <c r="D35" s="180"/>
      <c r="E35" s="180"/>
      <c r="F35" s="711"/>
      <c r="G35" s="711"/>
      <c r="H35" s="711"/>
      <c r="I35" s="711"/>
      <c r="M35" s="440">
        <v>2034</v>
      </c>
      <c r="N35" s="443"/>
      <c r="O35" s="459">
        <v>15848705.02</v>
      </c>
      <c r="P35" s="444">
        <v>20663737.120000001</v>
      </c>
      <c r="Q35" s="741">
        <v>-4815032.0999999996</v>
      </c>
      <c r="R35" s="742"/>
      <c r="S35" s="444">
        <v>68664468.930000007</v>
      </c>
    </row>
    <row r="36" spans="1:22" s="34" customFormat="1" ht="11.25" customHeight="1">
      <c r="A36" s="179" t="s">
        <v>427</v>
      </c>
      <c r="B36" s="711"/>
      <c r="C36" s="711"/>
      <c r="D36" s="180"/>
      <c r="E36" s="180"/>
      <c r="F36" s="711"/>
      <c r="G36" s="711"/>
      <c r="H36" s="711"/>
      <c r="I36" s="711"/>
      <c r="M36" s="440">
        <v>2035</v>
      </c>
      <c r="N36" s="443"/>
      <c r="O36" s="459">
        <v>15927266.869999999</v>
      </c>
      <c r="P36" s="444">
        <v>21046965.68</v>
      </c>
      <c r="Q36" s="741">
        <v>-5119698.8099999996</v>
      </c>
      <c r="R36" s="742"/>
      <c r="S36" s="444">
        <v>67664638.260000005</v>
      </c>
    </row>
    <row r="37" spans="1:22" s="34" customFormat="1" ht="11.25" customHeight="1">
      <c r="A37" s="179" t="s">
        <v>318</v>
      </c>
      <c r="B37" s="711"/>
      <c r="C37" s="711"/>
      <c r="D37" s="180"/>
      <c r="E37" s="180"/>
      <c r="F37" s="711"/>
      <c r="G37" s="711"/>
      <c r="H37" s="711"/>
      <c r="I37" s="711"/>
      <c r="M37" s="440">
        <v>2036</v>
      </c>
      <c r="N37" s="443"/>
      <c r="O37" s="459">
        <v>16005828.73</v>
      </c>
      <c r="P37" s="444">
        <v>21430194.239999998</v>
      </c>
      <c r="Q37" s="741">
        <v>-5424365.5099999998</v>
      </c>
      <c r="R37" s="742"/>
      <c r="S37" s="444">
        <v>66300151.039999999</v>
      </c>
    </row>
    <row r="38" spans="1:22" s="34" customFormat="1" ht="11.25" customHeight="1">
      <c r="A38" s="181" t="s">
        <v>428</v>
      </c>
      <c r="B38" s="711"/>
      <c r="C38" s="711"/>
      <c r="D38" s="180"/>
      <c r="E38" s="180"/>
      <c r="F38" s="711"/>
      <c r="G38" s="711"/>
      <c r="H38" s="711"/>
      <c r="I38" s="711"/>
      <c r="M38" s="440">
        <v>2037</v>
      </c>
      <c r="N38" s="443"/>
      <c r="O38" s="459">
        <v>16170094.42</v>
      </c>
      <c r="P38" s="444">
        <v>22231490.32</v>
      </c>
      <c r="Q38" s="741">
        <v>-6061395.9000000004</v>
      </c>
      <c r="R38" s="742"/>
      <c r="S38" s="444">
        <v>64216764.200000003</v>
      </c>
    </row>
    <row r="39" spans="1:22" s="34" customFormat="1" ht="11.25" customHeight="1">
      <c r="A39" s="181" t="s">
        <v>324</v>
      </c>
      <c r="B39" s="711"/>
      <c r="C39" s="711"/>
      <c r="D39" s="180"/>
      <c r="E39" s="180"/>
      <c r="F39" s="711"/>
      <c r="G39" s="711"/>
      <c r="H39" s="711"/>
      <c r="I39" s="711"/>
      <c r="M39" s="440">
        <v>2038</v>
      </c>
      <c r="N39" s="443"/>
      <c r="O39" s="459">
        <v>15991544.75</v>
      </c>
      <c r="P39" s="444">
        <v>21360516.32</v>
      </c>
      <c r="Q39" s="741">
        <v>-5368971.5700000003</v>
      </c>
      <c r="R39" s="742"/>
      <c r="S39" s="444">
        <v>62700798.479999997</v>
      </c>
      <c r="T39" s="35"/>
      <c r="U39" s="35"/>
      <c r="V39" s="35"/>
    </row>
    <row r="40" spans="1:22" s="35" customFormat="1" ht="11.25" customHeight="1">
      <c r="A40" s="183" t="s">
        <v>429</v>
      </c>
      <c r="B40" s="711"/>
      <c r="C40" s="711"/>
      <c r="D40" s="180"/>
      <c r="E40" s="180"/>
      <c r="F40" s="711"/>
      <c r="G40" s="711"/>
      <c r="H40" s="711"/>
      <c r="I40" s="711"/>
      <c r="M40" s="440">
        <v>2039</v>
      </c>
      <c r="N40" s="443"/>
      <c r="O40" s="459">
        <v>16062964.619999999</v>
      </c>
      <c r="P40" s="444">
        <v>21708905.920000002</v>
      </c>
      <c r="Q40" s="741">
        <v>-5645941.2999999998</v>
      </c>
      <c r="R40" s="742"/>
      <c r="S40" s="444">
        <v>60816905.090000004</v>
      </c>
    </row>
    <row r="41" spans="1:22" s="35" customFormat="1" ht="11.25" customHeight="1">
      <c r="A41" s="179" t="s">
        <v>430</v>
      </c>
      <c r="B41" s="711"/>
      <c r="C41" s="711"/>
      <c r="D41" s="180"/>
      <c r="E41" s="180"/>
      <c r="F41" s="711"/>
      <c r="G41" s="711"/>
      <c r="H41" s="711"/>
      <c r="I41" s="711"/>
      <c r="M41" s="440">
        <v>2040</v>
      </c>
      <c r="N41" s="443"/>
      <c r="O41" s="459">
        <v>16041538.66</v>
      </c>
      <c r="P41" s="444">
        <v>21604389.039999999</v>
      </c>
      <c r="Q41" s="741">
        <v>-5562850.3799999999</v>
      </c>
      <c r="R41" s="742"/>
      <c r="S41" s="444">
        <v>58903069.020000003</v>
      </c>
      <c r="T41" s="34"/>
      <c r="U41" s="34"/>
      <c r="V41" s="34"/>
    </row>
    <row r="42" spans="1:22" s="34" customFormat="1" ht="11.25" customHeight="1">
      <c r="A42" s="179" t="s">
        <v>343</v>
      </c>
      <c r="B42" s="711"/>
      <c r="C42" s="711"/>
      <c r="D42" s="180"/>
      <c r="E42" s="180"/>
      <c r="F42" s="711"/>
      <c r="G42" s="711"/>
      <c r="H42" s="711"/>
      <c r="I42" s="711"/>
      <c r="M42" s="440">
        <v>2041</v>
      </c>
      <c r="N42" s="443"/>
      <c r="O42" s="459">
        <v>16162952.439999999</v>
      </c>
      <c r="P42" s="444">
        <v>22196651.359999999</v>
      </c>
      <c r="Q42" s="741">
        <v>-6033698.9199999999</v>
      </c>
      <c r="R42" s="742"/>
      <c r="S42" s="444">
        <v>56403554.240000002</v>
      </c>
    </row>
    <row r="43" spans="1:22" s="34" customFormat="1" ht="11.25" customHeight="1">
      <c r="A43" s="179" t="s">
        <v>354</v>
      </c>
      <c r="B43" s="711"/>
      <c r="C43" s="711"/>
      <c r="D43" s="180"/>
      <c r="E43" s="180"/>
      <c r="F43" s="711"/>
      <c r="G43" s="711"/>
      <c r="H43" s="711"/>
      <c r="I43" s="711"/>
      <c r="M43" s="440">
        <v>2042</v>
      </c>
      <c r="N43" s="443"/>
      <c r="O43" s="459">
        <v>16205804.359999999</v>
      </c>
      <c r="P43" s="444">
        <v>22405685.120000001</v>
      </c>
      <c r="Q43" s="741">
        <v>-6199880.7599999998</v>
      </c>
      <c r="R43" s="742"/>
      <c r="S43" s="444">
        <v>53587886.729999997</v>
      </c>
    </row>
    <row r="44" spans="1:22" s="34" customFormat="1" ht="11.25" customHeight="1">
      <c r="A44" s="184" t="s">
        <v>431</v>
      </c>
      <c r="B44" s="731">
        <f>B11+B40</f>
        <v>19517050.689999998</v>
      </c>
      <c r="C44" s="732"/>
      <c r="D44" s="417"/>
      <c r="E44" s="418"/>
      <c r="F44" s="712">
        <f>F11+F40</f>
        <v>20251135.5</v>
      </c>
      <c r="G44" s="713"/>
      <c r="H44" s="712">
        <f>H11+H40</f>
        <v>11853593.369999999</v>
      </c>
      <c r="I44" s="713"/>
      <c r="M44" s="440">
        <v>2043</v>
      </c>
      <c r="N44" s="443"/>
      <c r="O44" s="459">
        <v>16227230.32</v>
      </c>
      <c r="P44" s="444">
        <v>22510202</v>
      </c>
      <c r="Q44" s="741">
        <v>-6282971.6799999997</v>
      </c>
      <c r="R44" s="742"/>
      <c r="S44" s="444">
        <v>50520188.25</v>
      </c>
    </row>
    <row r="45" spans="1:22" s="34" customFormat="1" ht="11.25" customHeight="1">
      <c r="A45" s="135"/>
      <c r="B45" s="185"/>
      <c r="C45" s="185"/>
      <c r="D45" s="185"/>
      <c r="E45" s="185"/>
      <c r="F45" s="186"/>
      <c r="G45" s="135"/>
      <c r="H45" s="135"/>
      <c r="I45" s="135"/>
      <c r="M45" s="440">
        <v>2044</v>
      </c>
      <c r="N45" s="443"/>
      <c r="O45" s="459">
        <v>16320076.140000001</v>
      </c>
      <c r="P45" s="444">
        <v>22963108.48</v>
      </c>
      <c r="Q45" s="741">
        <v>-6643032.3399999999</v>
      </c>
      <c r="R45" s="742"/>
      <c r="S45" s="444">
        <v>46908367.210000001</v>
      </c>
    </row>
    <row r="46" spans="1:22" s="34" customFormat="1" ht="11.25" customHeight="1">
      <c r="A46" s="187" t="s">
        <v>432</v>
      </c>
      <c r="B46" s="684">
        <f>B10</f>
        <v>2017</v>
      </c>
      <c r="C46" s="688"/>
      <c r="D46" s="688"/>
      <c r="E46" s="685"/>
      <c r="F46" s="684">
        <f>F10</f>
        <v>2016</v>
      </c>
      <c r="G46" s="685"/>
      <c r="H46" s="684">
        <f>H10</f>
        <v>2015</v>
      </c>
      <c r="I46" s="685"/>
      <c r="M46" s="440">
        <v>2045</v>
      </c>
      <c r="N46" s="443"/>
      <c r="O46" s="459">
        <v>16284366.210000001</v>
      </c>
      <c r="P46" s="444">
        <v>22788913.68</v>
      </c>
      <c r="Q46" s="741">
        <v>-6504547.4699999997</v>
      </c>
      <c r="R46" s="742"/>
      <c r="S46" s="444">
        <v>43218321.770000003</v>
      </c>
    </row>
    <row r="47" spans="1:22" s="34" customFormat="1" ht="11.25" customHeight="1">
      <c r="A47" s="188" t="s">
        <v>433</v>
      </c>
      <c r="B47" s="703"/>
      <c r="C47" s="703"/>
      <c r="D47" s="189"/>
      <c r="E47" s="190"/>
      <c r="F47" s="703"/>
      <c r="G47" s="703"/>
      <c r="H47" s="706"/>
      <c r="I47" s="707"/>
      <c r="M47" s="440">
        <v>2046</v>
      </c>
      <c r="N47" s="443"/>
      <c r="O47" s="459">
        <v>16291508.199999999</v>
      </c>
      <c r="P47" s="444">
        <v>22823752.640000001</v>
      </c>
      <c r="Q47" s="741">
        <v>-6532244.4400000004</v>
      </c>
      <c r="R47" s="742"/>
      <c r="S47" s="444">
        <v>39279176.630000003</v>
      </c>
    </row>
    <row r="48" spans="1:22" s="34" customFormat="1" ht="11.25" customHeight="1">
      <c r="A48" s="191" t="s">
        <v>434</v>
      </c>
      <c r="B48" s="703"/>
      <c r="C48" s="703"/>
      <c r="D48" s="192"/>
      <c r="E48" s="193"/>
      <c r="F48" s="703"/>
      <c r="G48" s="703"/>
      <c r="H48" s="706"/>
      <c r="I48" s="707"/>
      <c r="M48" s="440">
        <v>2047</v>
      </c>
      <c r="N48" s="443"/>
      <c r="O48" s="459">
        <v>16298650.18</v>
      </c>
      <c r="P48" s="444">
        <v>22858591.600000001</v>
      </c>
      <c r="Q48" s="741">
        <v>-6559941.4199999999</v>
      </c>
      <c r="R48" s="742"/>
      <c r="S48" s="444">
        <v>35075985.810000002</v>
      </c>
    </row>
    <row r="49" spans="1:22" s="34" customFormat="1" ht="11.25" customHeight="1">
      <c r="A49" s="191" t="s">
        <v>435</v>
      </c>
      <c r="B49" s="703"/>
      <c r="C49" s="703"/>
      <c r="D49" s="192"/>
      <c r="E49" s="193"/>
      <c r="F49" s="703"/>
      <c r="G49" s="703"/>
      <c r="H49" s="706"/>
      <c r="I49" s="707"/>
      <c r="M49" s="440">
        <v>2048</v>
      </c>
      <c r="N49" s="443"/>
      <c r="O49" s="459">
        <v>16255798.26</v>
      </c>
      <c r="P49" s="441">
        <v>22649557.84</v>
      </c>
      <c r="Q49" s="741">
        <v>-6393759.5800000001</v>
      </c>
      <c r="R49" s="742"/>
      <c r="S49" s="444">
        <v>30786785.390000001</v>
      </c>
    </row>
    <row r="50" spans="1:22" s="34" customFormat="1" ht="11.25" customHeight="1">
      <c r="A50" s="194" t="s">
        <v>436</v>
      </c>
      <c r="B50" s="703">
        <f>B51+B61</f>
        <v>8152954.1400000006</v>
      </c>
      <c r="C50" s="703"/>
      <c r="D50" s="192"/>
      <c r="E50" s="193"/>
      <c r="F50" s="703">
        <f>F51+F61</f>
        <v>6794424.1500000004</v>
      </c>
      <c r="G50" s="703"/>
      <c r="H50" s="703">
        <f>H51+H61</f>
        <v>5470504.79</v>
      </c>
      <c r="I50" s="703"/>
      <c r="M50" s="440">
        <v>2049</v>
      </c>
      <c r="N50" s="443"/>
      <c r="O50" s="459">
        <v>16155810.449999999</v>
      </c>
      <c r="P50" s="444">
        <v>22161812.399999999</v>
      </c>
      <c r="Q50" s="741">
        <v>-6006001.9500000002</v>
      </c>
      <c r="R50" s="742"/>
      <c r="S50" s="444">
        <v>26627990.559999999</v>
      </c>
      <c r="T50" s="35"/>
      <c r="U50" s="35"/>
      <c r="V50" s="35"/>
    </row>
    <row r="51" spans="1:22" s="35" customFormat="1" ht="11.25" customHeight="1">
      <c r="A51" s="179" t="s">
        <v>437</v>
      </c>
      <c r="B51" s="703">
        <f>B52+B53+B54</f>
        <v>7999356.2400000002</v>
      </c>
      <c r="C51" s="703"/>
      <c r="D51" s="192"/>
      <c r="E51" s="193"/>
      <c r="F51" s="703">
        <f>F52+F53+F54</f>
        <v>6602364.7000000002</v>
      </c>
      <c r="G51" s="703"/>
      <c r="H51" s="703">
        <f>H52+H53+H54</f>
        <v>5296843.16</v>
      </c>
      <c r="I51" s="703"/>
      <c r="M51" s="440">
        <v>2050</v>
      </c>
      <c r="N51" s="443"/>
      <c r="O51" s="459">
        <v>16048680.65</v>
      </c>
      <c r="P51" s="444">
        <v>21639228</v>
      </c>
      <c r="Q51" s="741">
        <v>-5590547.3499999996</v>
      </c>
      <c r="R51" s="742"/>
      <c r="S51" s="444">
        <v>22635122.640000001</v>
      </c>
      <c r="T51" s="34"/>
      <c r="U51" s="34"/>
      <c r="V51" s="34"/>
    </row>
    <row r="52" spans="1:22" s="34" customFormat="1" ht="11.25" customHeight="1">
      <c r="A52" s="195" t="s">
        <v>438</v>
      </c>
      <c r="B52" s="703">
        <v>6253108.2999999998</v>
      </c>
      <c r="C52" s="703"/>
      <c r="D52" s="192"/>
      <c r="E52" s="193"/>
      <c r="F52" s="703">
        <v>5104658.66</v>
      </c>
      <c r="G52" s="703"/>
      <c r="H52" s="701">
        <v>3917678.66</v>
      </c>
      <c r="I52" s="702"/>
      <c r="M52" s="440">
        <v>2051</v>
      </c>
      <c r="N52" s="443"/>
      <c r="O52" s="459">
        <v>15891556.939999999</v>
      </c>
      <c r="P52" s="444">
        <v>20872770.879999999</v>
      </c>
      <c r="Q52" s="741">
        <v>-4981213.9400000004</v>
      </c>
      <c r="R52" s="742"/>
      <c r="S52" s="444">
        <v>19012016.050000001</v>
      </c>
    </row>
    <row r="53" spans="1:22" s="34" customFormat="1" ht="11.25" customHeight="1">
      <c r="A53" s="195" t="s">
        <v>439</v>
      </c>
      <c r="B53" s="703">
        <v>800183.11</v>
      </c>
      <c r="C53" s="703"/>
      <c r="D53" s="192"/>
      <c r="E53" s="193"/>
      <c r="F53" s="703">
        <v>1497706.04</v>
      </c>
      <c r="G53" s="703"/>
      <c r="H53" s="701">
        <v>1379164.5</v>
      </c>
      <c r="I53" s="702"/>
      <c r="M53" s="440">
        <v>2052</v>
      </c>
      <c r="N53" s="443"/>
      <c r="O53" s="459">
        <v>15670155.35</v>
      </c>
      <c r="P53" s="444">
        <v>19792763.120000001</v>
      </c>
      <c r="Q53" s="741">
        <v>-4122607.77</v>
      </c>
      <c r="R53" s="742"/>
      <c r="S53" s="444">
        <v>16030129.24</v>
      </c>
    </row>
    <row r="54" spans="1:22" s="34" customFormat="1" ht="11.25" customHeight="1">
      <c r="A54" s="195" t="s">
        <v>440</v>
      </c>
      <c r="B54" s="703">
        <v>946064.83</v>
      </c>
      <c r="C54" s="703"/>
      <c r="D54" s="192"/>
      <c r="E54" s="193"/>
      <c r="F54" s="703">
        <v>0</v>
      </c>
      <c r="G54" s="703"/>
      <c r="H54" s="706"/>
      <c r="I54" s="707"/>
      <c r="M54" s="440">
        <v>2053</v>
      </c>
      <c r="N54" s="443"/>
      <c r="O54" s="459">
        <v>15548741.57</v>
      </c>
      <c r="P54" s="444">
        <v>19200500.800000001</v>
      </c>
      <c r="Q54" s="741">
        <f>O54-P54</f>
        <v>-3651759.2300000004</v>
      </c>
      <c r="R54" s="742"/>
      <c r="S54" s="444">
        <v>13340177.77</v>
      </c>
    </row>
    <row r="55" spans="1:22" s="34" customFormat="1" ht="11.25" customHeight="1">
      <c r="A55" s="179" t="s">
        <v>441</v>
      </c>
      <c r="B55" s="703"/>
      <c r="C55" s="703"/>
      <c r="D55" s="192"/>
      <c r="E55" s="193"/>
      <c r="F55" s="703"/>
      <c r="G55" s="703"/>
      <c r="H55" s="706"/>
      <c r="I55" s="707"/>
      <c r="M55" s="440">
        <v>2054</v>
      </c>
      <c r="N55" s="443"/>
      <c r="O55" s="459">
        <v>14427327.789999999</v>
      </c>
      <c r="P55" s="444">
        <v>18608238.48</v>
      </c>
      <c r="Q55" s="741">
        <v>-3180910.69</v>
      </c>
      <c r="R55" s="742"/>
      <c r="S55" s="444">
        <v>10959677.75</v>
      </c>
    </row>
    <row r="56" spans="1:22" s="34" customFormat="1" ht="11.25" customHeight="1">
      <c r="A56" s="195" t="s">
        <v>442</v>
      </c>
      <c r="B56" s="703"/>
      <c r="C56" s="703"/>
      <c r="D56" s="192"/>
      <c r="E56" s="193"/>
      <c r="F56" s="703"/>
      <c r="G56" s="703"/>
      <c r="H56" s="706"/>
      <c r="I56" s="707"/>
      <c r="M56" s="440">
        <v>2055</v>
      </c>
      <c r="N56" s="443"/>
      <c r="O56" s="459">
        <v>15348765.939999999</v>
      </c>
      <c r="P56" s="444">
        <v>18225009.920000002</v>
      </c>
      <c r="Q56" s="741">
        <f t="shared" ref="Q56:Q72" si="0">O56-P56</f>
        <v>-2876243.9800000023</v>
      </c>
      <c r="R56" s="742"/>
      <c r="S56" s="444">
        <v>8741014.4299999997</v>
      </c>
    </row>
    <row r="57" spans="1:22" s="34" customFormat="1" ht="11.25" customHeight="1">
      <c r="A57" s="195" t="s">
        <v>439</v>
      </c>
      <c r="B57" s="703"/>
      <c r="C57" s="703"/>
      <c r="D57" s="192"/>
      <c r="E57" s="193"/>
      <c r="F57" s="703"/>
      <c r="G57" s="703"/>
      <c r="H57" s="706"/>
      <c r="I57" s="707"/>
      <c r="M57" s="440">
        <v>2056</v>
      </c>
      <c r="N57" s="443"/>
      <c r="O57" s="459">
        <v>15341623.949999999</v>
      </c>
      <c r="P57" s="444">
        <v>18190170.960000001</v>
      </c>
      <c r="Q57" s="741">
        <f t="shared" si="0"/>
        <v>-2848547.0100000016</v>
      </c>
      <c r="R57" s="742"/>
      <c r="S57" s="444">
        <v>6416928.29</v>
      </c>
    </row>
    <row r="58" spans="1:22" s="34" customFormat="1" ht="11.25" customHeight="1">
      <c r="A58" s="195" t="s">
        <v>440</v>
      </c>
      <c r="B58" s="703"/>
      <c r="C58" s="703"/>
      <c r="D58" s="192"/>
      <c r="E58" s="193"/>
      <c r="F58" s="703"/>
      <c r="G58" s="703"/>
      <c r="H58" s="706"/>
      <c r="I58" s="707"/>
      <c r="M58" s="440">
        <v>2057</v>
      </c>
      <c r="N58" s="443"/>
      <c r="O58" s="459">
        <v>15370191.9</v>
      </c>
      <c r="P58" s="444">
        <v>18329526.800000001</v>
      </c>
      <c r="Q58" s="741">
        <f t="shared" si="0"/>
        <v>-2959334.9000000004</v>
      </c>
      <c r="R58" s="742"/>
      <c r="S58" s="444">
        <v>3842609.09</v>
      </c>
    </row>
    <row r="59" spans="1:22" s="34" customFormat="1" ht="11.25" customHeight="1">
      <c r="A59" s="191" t="s">
        <v>443</v>
      </c>
      <c r="B59" s="703"/>
      <c r="C59" s="703"/>
      <c r="D59" s="192"/>
      <c r="E59" s="193"/>
      <c r="F59" s="703"/>
      <c r="G59" s="703"/>
      <c r="H59" s="706"/>
      <c r="I59" s="707"/>
      <c r="M59" s="440">
        <v>2058</v>
      </c>
      <c r="N59" s="443"/>
      <c r="O59" s="459">
        <v>15548741.57</v>
      </c>
      <c r="P59" s="444">
        <v>19200500.800000001</v>
      </c>
      <c r="Q59" s="741">
        <f t="shared" si="0"/>
        <v>-3651759.2300000004</v>
      </c>
      <c r="R59" s="742"/>
      <c r="S59" s="444">
        <v>421406.41</v>
      </c>
    </row>
    <row r="60" spans="1:22" s="34" customFormat="1" ht="11.25" customHeight="1">
      <c r="A60" s="195" t="s">
        <v>444</v>
      </c>
      <c r="B60" s="703"/>
      <c r="C60" s="703"/>
      <c r="D60" s="192"/>
      <c r="E60" s="193"/>
      <c r="F60" s="703"/>
      <c r="G60" s="703"/>
      <c r="H60" s="706"/>
      <c r="I60" s="707"/>
      <c r="M60" s="440">
        <v>2059</v>
      </c>
      <c r="N60" s="443"/>
      <c r="O60" s="459">
        <v>15477321.699999999</v>
      </c>
      <c r="P60" s="444">
        <v>18058528.93</v>
      </c>
      <c r="Q60" s="741">
        <f t="shared" si="0"/>
        <v>-2581207.2300000004</v>
      </c>
      <c r="R60" s="742"/>
      <c r="S60" s="444">
        <v>-2134516.44</v>
      </c>
    </row>
    <row r="61" spans="1:22" s="34" customFormat="1" ht="11.25" customHeight="1">
      <c r="A61" s="195" t="s">
        <v>445</v>
      </c>
      <c r="B61" s="703">
        <v>153597.9</v>
      </c>
      <c r="C61" s="703"/>
      <c r="D61" s="196"/>
      <c r="E61" s="197"/>
      <c r="F61" s="703">
        <v>192059.45</v>
      </c>
      <c r="G61" s="703"/>
      <c r="H61" s="701">
        <v>173661.63</v>
      </c>
      <c r="I61" s="702"/>
      <c r="M61" s="440">
        <v>2060</v>
      </c>
      <c r="N61" s="443"/>
      <c r="O61" s="459">
        <v>15498747.66</v>
      </c>
      <c r="P61" s="444">
        <v>18163045.809999999</v>
      </c>
      <c r="Q61" s="741">
        <f t="shared" si="0"/>
        <v>-2664298.1499999985</v>
      </c>
      <c r="R61" s="742"/>
      <c r="S61" s="444">
        <v>-4798814.59</v>
      </c>
    </row>
    <row r="62" spans="1:22" s="34" customFormat="1" ht="11.25" customHeight="1">
      <c r="A62" s="198" t="s">
        <v>446</v>
      </c>
      <c r="B62" s="706">
        <f>B47+B50</f>
        <v>8152954.1400000006</v>
      </c>
      <c r="C62" s="730"/>
      <c r="D62" s="730"/>
      <c r="E62" s="707"/>
      <c r="F62" s="733">
        <f>F47+F50</f>
        <v>6794424.1500000004</v>
      </c>
      <c r="G62" s="734"/>
      <c r="H62" s="704">
        <f>H47+H50</f>
        <v>5470504.79</v>
      </c>
      <c r="I62" s="705"/>
      <c r="M62" s="440">
        <v>2061</v>
      </c>
      <c r="N62" s="443"/>
      <c r="O62" s="459">
        <v>15377333.890000001</v>
      </c>
      <c r="P62" s="444">
        <v>17570783.489999998</v>
      </c>
      <c r="Q62" s="741">
        <f t="shared" si="0"/>
        <v>-2193449.5999999978</v>
      </c>
      <c r="R62" s="742"/>
      <c r="S62" s="444">
        <v>6992264.1900000004</v>
      </c>
    </row>
    <row r="63" spans="1:22" s="34" customFormat="1" ht="11.25" customHeight="1">
      <c r="A63" s="199"/>
      <c r="B63" s="200"/>
      <c r="C63" s="200"/>
      <c r="D63" s="201"/>
      <c r="E63" s="201"/>
      <c r="F63" s="201"/>
      <c r="G63" s="202"/>
      <c r="H63" s="202"/>
      <c r="I63" s="202"/>
      <c r="M63" s="440">
        <v>2062</v>
      </c>
      <c r="N63" s="443"/>
      <c r="O63" s="459">
        <v>13962980.619999999</v>
      </c>
      <c r="P63" s="444">
        <v>10671499.279999999</v>
      </c>
      <c r="Q63" s="741">
        <f t="shared" si="0"/>
        <v>3291481.34</v>
      </c>
      <c r="R63" s="742"/>
      <c r="S63" s="444">
        <v>3700782.84</v>
      </c>
    </row>
    <row r="64" spans="1:22" s="34" customFormat="1" ht="11.25" customHeight="1">
      <c r="A64" s="203" t="s">
        <v>177</v>
      </c>
      <c r="B64" s="708">
        <f>B44-B62</f>
        <v>11364096.549999997</v>
      </c>
      <c r="C64" s="709"/>
      <c r="D64" s="709"/>
      <c r="E64" s="710"/>
      <c r="F64" s="679">
        <f>F44-F62</f>
        <v>13456711.35</v>
      </c>
      <c r="G64" s="594"/>
      <c r="H64" s="679">
        <f>H44-H62</f>
        <v>6383088.5799999991</v>
      </c>
      <c r="I64" s="594"/>
      <c r="M64" s="440">
        <v>2063</v>
      </c>
      <c r="N64" s="443"/>
      <c r="O64" s="459">
        <v>13941554.66</v>
      </c>
      <c r="P64" s="444">
        <v>10566982.4</v>
      </c>
      <c r="Q64" s="741">
        <f t="shared" si="0"/>
        <v>3374572.26</v>
      </c>
      <c r="R64" s="742"/>
      <c r="S64" s="444">
        <v>326210.58</v>
      </c>
    </row>
    <row r="65" spans="1:19" s="34" customFormat="1" ht="11.25" customHeight="1">
      <c r="A65" s="204"/>
      <c r="B65" s="205"/>
      <c r="C65" s="205"/>
      <c r="D65" s="205"/>
      <c r="E65" s="205"/>
      <c r="F65" s="206"/>
      <c r="G65" s="206"/>
      <c r="H65" s="206"/>
      <c r="I65" s="206"/>
      <c r="M65" s="440">
        <v>2064</v>
      </c>
      <c r="N65" s="443"/>
      <c r="O65" s="459">
        <v>13848708.84</v>
      </c>
      <c r="P65" s="444">
        <v>10114075.92</v>
      </c>
      <c r="Q65" s="741">
        <f t="shared" si="0"/>
        <v>3734632.92</v>
      </c>
      <c r="R65" s="742"/>
      <c r="S65" s="444">
        <v>3408422.33</v>
      </c>
    </row>
    <row r="66" spans="1:19" s="34" customFormat="1" ht="11.25" customHeight="1">
      <c r="A66" s="207" t="s">
        <v>447</v>
      </c>
      <c r="B66" s="684"/>
      <c r="C66" s="688"/>
      <c r="D66" s="688"/>
      <c r="E66" s="685"/>
      <c r="F66" s="684"/>
      <c r="G66" s="685"/>
      <c r="H66" s="684"/>
      <c r="I66" s="688"/>
      <c r="M66" s="440">
        <v>2065</v>
      </c>
      <c r="N66" s="443"/>
      <c r="O66" s="459">
        <v>13884418.77</v>
      </c>
      <c r="P66" s="444">
        <v>10288270.720000001</v>
      </c>
      <c r="Q66" s="741">
        <f t="shared" si="0"/>
        <v>3596148.0499999989</v>
      </c>
      <c r="R66" s="742"/>
      <c r="S66" s="444">
        <v>7209075.7199999997</v>
      </c>
    </row>
    <row r="67" spans="1:19" s="34" customFormat="1" ht="11.25" customHeight="1">
      <c r="A67" s="208" t="s">
        <v>448</v>
      </c>
      <c r="B67" s="699"/>
      <c r="C67" s="700"/>
      <c r="D67" s="700"/>
      <c r="E67" s="700"/>
      <c r="F67" s="700"/>
      <c r="G67" s="700"/>
      <c r="H67" s="700"/>
      <c r="I67" s="700"/>
      <c r="M67" s="440">
        <v>2066</v>
      </c>
      <c r="N67" s="443"/>
      <c r="O67" s="459">
        <v>13877276.779999999</v>
      </c>
      <c r="P67" s="444">
        <v>10253431.76</v>
      </c>
      <c r="Q67" s="741">
        <f t="shared" si="0"/>
        <v>3623845.0199999996</v>
      </c>
      <c r="R67" s="742"/>
      <c r="S67" s="444">
        <v>11265465.289999999</v>
      </c>
    </row>
    <row r="68" spans="1:19" s="34" customFormat="1" ht="11.25" customHeight="1">
      <c r="A68" s="204"/>
      <c r="B68" s="205"/>
      <c r="C68" s="205"/>
      <c r="D68" s="206"/>
      <c r="E68" s="206"/>
      <c r="F68" s="209"/>
      <c r="G68" s="209"/>
      <c r="H68" s="209"/>
      <c r="I68" s="209"/>
      <c r="M68" s="440">
        <v>2067</v>
      </c>
      <c r="N68" s="443"/>
      <c r="O68" s="459">
        <v>13870134.800000001</v>
      </c>
      <c r="P68" s="444">
        <v>10218592.800000001</v>
      </c>
      <c r="Q68" s="741">
        <f t="shared" si="0"/>
        <v>3651542</v>
      </c>
      <c r="R68" s="742"/>
      <c r="S68" s="444">
        <v>15592935.199999999</v>
      </c>
    </row>
    <row r="69" spans="1:19" s="34" customFormat="1" ht="11.25" customHeight="1">
      <c r="A69" s="207" t="s">
        <v>178</v>
      </c>
      <c r="B69" s="694">
        <f>B46</f>
        <v>2017</v>
      </c>
      <c r="C69" s="696"/>
      <c r="D69" s="696"/>
      <c r="E69" s="695"/>
      <c r="F69" s="694">
        <f>F46</f>
        <v>2016</v>
      </c>
      <c r="G69" s="695"/>
      <c r="H69" s="694">
        <f>H46</f>
        <v>2015</v>
      </c>
      <c r="I69" s="696"/>
      <c r="M69" s="440">
        <v>2068</v>
      </c>
      <c r="N69" s="443"/>
      <c r="O69" s="459">
        <v>13912986.720000001</v>
      </c>
      <c r="P69" s="444">
        <v>10427626.560000001</v>
      </c>
      <c r="Q69" s="741">
        <f t="shared" si="0"/>
        <v>3485360.16</v>
      </c>
      <c r="R69" s="742"/>
      <c r="S69" s="444">
        <v>20013871.469999999</v>
      </c>
    </row>
    <row r="70" spans="1:19" s="34" customFormat="1" ht="11.25" customHeight="1">
      <c r="A70" s="208" t="s">
        <v>448</v>
      </c>
      <c r="B70" s="697"/>
      <c r="C70" s="698"/>
      <c r="D70" s="210"/>
      <c r="E70" s="210"/>
      <c r="F70" s="697"/>
      <c r="G70" s="698"/>
      <c r="H70" s="697"/>
      <c r="I70" s="698"/>
      <c r="M70" s="440">
        <v>2069</v>
      </c>
      <c r="N70" s="443"/>
      <c r="O70" s="459">
        <v>14012974.529999999</v>
      </c>
      <c r="P70" s="444">
        <v>10915372</v>
      </c>
      <c r="Q70" s="741">
        <f t="shared" si="0"/>
        <v>3097602.5299999993</v>
      </c>
      <c r="R70" s="742"/>
      <c r="S70" s="444">
        <v>24312306.289999999</v>
      </c>
    </row>
    <row r="71" spans="1:19" s="34" customFormat="1" ht="11.25" customHeight="1">
      <c r="A71" s="202"/>
      <c r="B71" s="211"/>
      <c r="C71" s="212"/>
      <c r="D71" s="212"/>
      <c r="E71" s="212"/>
      <c r="F71" s="212"/>
      <c r="G71" s="135"/>
      <c r="H71" s="135"/>
      <c r="I71" s="135"/>
      <c r="M71" s="440">
        <v>2070</v>
      </c>
      <c r="N71" s="443"/>
      <c r="O71" s="459">
        <v>14120104.33</v>
      </c>
      <c r="P71" s="444">
        <v>11437956.4</v>
      </c>
      <c r="Q71" s="741">
        <f t="shared" si="0"/>
        <v>2682147.9299999997</v>
      </c>
      <c r="R71" s="742"/>
      <c r="S71" s="444">
        <v>28453192.600000001</v>
      </c>
    </row>
    <row r="72" spans="1:19" s="34" customFormat="1" ht="11.25" customHeight="1">
      <c r="A72" s="207" t="s">
        <v>449</v>
      </c>
      <c r="B72" s="680">
        <f>B69</f>
        <v>2017</v>
      </c>
      <c r="C72" s="693"/>
      <c r="D72" s="693"/>
      <c r="E72" s="681"/>
      <c r="F72" s="680">
        <f>F69</f>
        <v>2016</v>
      </c>
      <c r="G72" s="681"/>
      <c r="H72" s="680">
        <f>H69</f>
        <v>2015</v>
      </c>
      <c r="I72" s="693"/>
      <c r="M72" s="440">
        <v>2071</v>
      </c>
      <c r="N72" s="443"/>
      <c r="O72" s="459">
        <v>14277228.039999999</v>
      </c>
      <c r="P72" s="444">
        <v>12204413.52</v>
      </c>
      <c r="Q72" s="741">
        <f t="shared" si="0"/>
        <v>2072814.5199999996</v>
      </c>
      <c r="R72" s="742"/>
      <c r="S72" s="444">
        <v>32233198.68</v>
      </c>
    </row>
    <row r="73" spans="1:19" s="34" customFormat="1" ht="11.25" customHeight="1">
      <c r="A73" s="213" t="s">
        <v>450</v>
      </c>
      <c r="B73" s="692"/>
      <c r="C73" s="692"/>
      <c r="D73" s="214"/>
      <c r="E73" s="202"/>
      <c r="F73" s="692"/>
      <c r="G73" s="692"/>
      <c r="H73" s="692"/>
      <c r="I73" s="692"/>
      <c r="M73" s="440">
        <v>2072</v>
      </c>
      <c r="N73" s="443"/>
      <c r="O73" s="459">
        <v>14498629.630000001</v>
      </c>
      <c r="P73" s="444">
        <v>13284421.279999999</v>
      </c>
      <c r="Q73" s="741">
        <f t="shared" ref="Q73:Q92" si="1">O73-P73</f>
        <v>1214208.3500000015</v>
      </c>
      <c r="R73" s="742"/>
      <c r="S73" s="444">
        <v>35381398.960000001</v>
      </c>
    </row>
    <row r="74" spans="1:19" s="34" customFormat="1" ht="11.25" customHeight="1">
      <c r="A74" s="215" t="s">
        <v>451</v>
      </c>
      <c r="B74" s="692"/>
      <c r="C74" s="692"/>
      <c r="D74" s="214"/>
      <c r="E74" s="202"/>
      <c r="F74" s="692"/>
      <c r="G74" s="692"/>
      <c r="H74" s="692"/>
      <c r="I74" s="692"/>
      <c r="M74" s="440">
        <v>2073</v>
      </c>
      <c r="N74" s="443"/>
      <c r="O74" s="459">
        <v>14620043.41</v>
      </c>
      <c r="P74" s="444">
        <v>13876683.6</v>
      </c>
      <c r="Q74" s="741">
        <f t="shared" si="1"/>
        <v>743359.81000000052</v>
      </c>
      <c r="R74" s="742"/>
      <c r="S74" s="444">
        <v>38247642.710000001</v>
      </c>
    </row>
    <row r="75" spans="1:19" s="34" customFormat="1" ht="11.25" customHeight="1">
      <c r="A75" s="202" t="s">
        <v>452</v>
      </c>
      <c r="B75" s="692"/>
      <c r="C75" s="692"/>
      <c r="D75" s="214"/>
      <c r="E75" s="202"/>
      <c r="F75" s="690">
        <v>1502457.98</v>
      </c>
      <c r="G75" s="691"/>
      <c r="H75" s="689">
        <v>597495.14</v>
      </c>
      <c r="I75" s="689"/>
      <c r="M75" s="440">
        <v>2074</v>
      </c>
      <c r="N75" s="443"/>
      <c r="O75" s="459">
        <v>14741457.189999999</v>
      </c>
      <c r="P75" s="444">
        <v>14468945.92</v>
      </c>
      <c r="Q75" s="741">
        <f t="shared" si="1"/>
        <v>272511.26999999955</v>
      </c>
      <c r="R75" s="742"/>
      <c r="S75" s="444">
        <v>40815012.530000001</v>
      </c>
    </row>
    <row r="76" spans="1:19" s="34" customFormat="1" ht="11.25" customHeight="1">
      <c r="A76" s="216" t="s">
        <v>453</v>
      </c>
      <c r="B76" s="692"/>
      <c r="C76" s="692"/>
      <c r="D76" s="217"/>
      <c r="E76" s="218"/>
      <c r="F76" s="692"/>
      <c r="G76" s="692"/>
      <c r="H76" s="692"/>
      <c r="I76" s="692"/>
      <c r="M76" s="440">
        <v>2075</v>
      </c>
      <c r="N76" s="443"/>
      <c r="O76" s="459">
        <v>14820019.039999999</v>
      </c>
      <c r="P76" s="444">
        <v>14852174.48</v>
      </c>
      <c r="Q76" s="741">
        <f t="shared" si="1"/>
        <v>-32155.440000001341</v>
      </c>
      <c r="R76" s="742"/>
      <c r="S76" s="444">
        <v>43231757.840000004</v>
      </c>
    </row>
    <row r="77" spans="1:19" s="34" customFormat="1" ht="11.25" customHeight="1">
      <c r="A77" s="219"/>
      <c r="B77" s="219"/>
      <c r="C77" s="219"/>
      <c r="D77" s="219"/>
      <c r="E77" s="219"/>
      <c r="F77" s="219"/>
      <c r="G77" s="202"/>
      <c r="H77" s="135"/>
      <c r="I77" s="135"/>
      <c r="M77" s="440">
        <v>2076</v>
      </c>
      <c r="N77" s="443"/>
      <c r="O77" s="459">
        <v>14898580.890000001</v>
      </c>
      <c r="P77" s="444">
        <v>15235403.039999999</v>
      </c>
      <c r="Q77" s="741">
        <f t="shared" si="1"/>
        <v>-336822.14999999851</v>
      </c>
      <c r="R77" s="742"/>
      <c r="S77" s="444">
        <v>45488841.170000002</v>
      </c>
    </row>
    <row r="78" spans="1:19" s="34" customFormat="1" ht="11.25" customHeight="1">
      <c r="A78" s="220" t="s">
        <v>179</v>
      </c>
      <c r="B78" s="684">
        <f>B72</f>
        <v>2017</v>
      </c>
      <c r="C78" s="688"/>
      <c r="D78" s="688"/>
      <c r="E78" s="685"/>
      <c r="F78" s="684">
        <f>F72</f>
        <v>2016</v>
      </c>
      <c r="G78" s="685"/>
      <c r="H78" s="684">
        <f>H72</f>
        <v>2015</v>
      </c>
      <c r="I78" s="685"/>
      <c r="M78" s="440">
        <v>2077</v>
      </c>
      <c r="N78" s="445"/>
      <c r="O78" s="459">
        <v>15055704.6</v>
      </c>
      <c r="P78" s="444">
        <v>16001860.16</v>
      </c>
      <c r="Q78" s="741">
        <f t="shared" si="1"/>
        <v>-946155.56000000052</v>
      </c>
      <c r="R78" s="742"/>
      <c r="S78" s="444">
        <v>47272016.090000004</v>
      </c>
    </row>
    <row r="79" spans="1:19" s="34" customFormat="1" ht="11.25" customHeight="1">
      <c r="A79" s="221" t="s">
        <v>454</v>
      </c>
      <c r="B79" s="692"/>
      <c r="C79" s="692"/>
      <c r="D79" s="221"/>
      <c r="E79" s="221"/>
      <c r="F79" s="692"/>
      <c r="G79" s="692"/>
      <c r="H79" s="692"/>
      <c r="I79" s="692"/>
      <c r="M79" s="440">
        <v>2078</v>
      </c>
      <c r="N79" s="443"/>
      <c r="O79" s="458">
        <v>14877154.93</v>
      </c>
      <c r="P79" s="441">
        <v>15130886.16</v>
      </c>
      <c r="Q79" s="741">
        <f t="shared" si="1"/>
        <v>-253731.23000000045</v>
      </c>
      <c r="R79" s="742"/>
      <c r="S79" s="441">
        <v>49854605.82</v>
      </c>
    </row>
    <row r="80" spans="1:19" s="34" customFormat="1" ht="11.25" customHeight="1">
      <c r="A80" s="222" t="s">
        <v>455</v>
      </c>
      <c r="B80" s="718">
        <v>106679172.16</v>
      </c>
      <c r="C80" s="718"/>
      <c r="D80" s="241"/>
      <c r="E80" s="241"/>
      <c r="F80" s="718">
        <v>92723778.359999999</v>
      </c>
      <c r="G80" s="718"/>
      <c r="H80" s="718">
        <v>76770177.989999995</v>
      </c>
      <c r="I80" s="718"/>
      <c r="M80" s="448">
        <v>2079</v>
      </c>
      <c r="N80" s="445"/>
      <c r="O80" s="458">
        <v>14948574.800000001</v>
      </c>
      <c r="P80" s="441">
        <v>15479275.76</v>
      </c>
      <c r="Q80" s="741">
        <f t="shared" si="1"/>
        <v>-530700.95999999903</v>
      </c>
      <c r="R80" s="742"/>
      <c r="S80" s="442">
        <v>52315181.219999999</v>
      </c>
    </row>
    <row r="81" spans="1:22" s="34" customFormat="1" ht="11.25" customHeight="1">
      <c r="A81" s="223" t="s">
        <v>456</v>
      </c>
      <c r="B81" s="692"/>
      <c r="C81" s="692"/>
      <c r="D81" s="224"/>
      <c r="E81" s="224"/>
      <c r="F81" s="692"/>
      <c r="G81" s="692"/>
      <c r="H81" s="692"/>
      <c r="I81" s="692"/>
      <c r="M81" s="448">
        <v>2080</v>
      </c>
      <c r="N81" s="445"/>
      <c r="O81" s="458">
        <v>14962858.779999999</v>
      </c>
      <c r="P81" s="446">
        <v>15548953.68</v>
      </c>
      <c r="Q81" s="741">
        <f t="shared" si="1"/>
        <v>-586094.90000000037</v>
      </c>
      <c r="R81" s="742"/>
      <c r="S81" s="442">
        <v>54867997.189999998</v>
      </c>
    </row>
    <row r="82" spans="1:22" s="34" customFormat="1" ht="11.25" customHeight="1" thickBot="1">
      <c r="A82" s="225"/>
      <c r="B82" s="226"/>
      <c r="C82" s="226"/>
      <c r="D82" s="176"/>
      <c r="E82" s="176"/>
      <c r="F82" s="176"/>
      <c r="G82" s="202"/>
      <c r="H82" s="202"/>
      <c r="I82" s="202"/>
      <c r="M82" s="448">
        <v>2081</v>
      </c>
      <c r="N82" s="445"/>
      <c r="O82" s="458">
        <v>14977142.75</v>
      </c>
      <c r="P82" s="441">
        <v>15618631.6</v>
      </c>
      <c r="Q82" s="741">
        <f t="shared" si="1"/>
        <v>-641488.84999999963</v>
      </c>
      <c r="R82" s="742"/>
      <c r="S82" s="442">
        <v>57518588.170000002</v>
      </c>
    </row>
    <row r="83" spans="1:22" s="34" customFormat="1" ht="11.25" customHeight="1">
      <c r="A83" s="716" t="s">
        <v>457</v>
      </c>
      <c r="B83" s="717"/>
      <c r="C83" s="717"/>
      <c r="D83" s="717"/>
      <c r="E83" s="717"/>
      <c r="F83" s="717"/>
      <c r="G83" s="717"/>
      <c r="H83" s="717"/>
      <c r="I83" s="717"/>
      <c r="M83" s="448">
        <v>2082</v>
      </c>
      <c r="N83" s="445"/>
      <c r="O83" s="458">
        <v>15019994.67</v>
      </c>
      <c r="P83" s="441">
        <v>15827665.359999999</v>
      </c>
      <c r="Q83" s="741">
        <f t="shared" si="1"/>
        <v>-807670.68999999948</v>
      </c>
      <c r="R83" s="742"/>
      <c r="S83" s="442">
        <v>60162032.770000003</v>
      </c>
    </row>
    <row r="84" spans="1:22" s="34" customFormat="1" ht="11.25" customHeight="1">
      <c r="A84" s="227" t="s">
        <v>414</v>
      </c>
      <c r="B84" s="680">
        <f>B78</f>
        <v>2017</v>
      </c>
      <c r="C84" s="693"/>
      <c r="D84" s="693"/>
      <c r="E84" s="681"/>
      <c r="F84" s="684">
        <f>F78</f>
        <v>2016</v>
      </c>
      <c r="G84" s="685"/>
      <c r="H84" s="684">
        <f>H78</f>
        <v>2015</v>
      </c>
      <c r="I84" s="688"/>
      <c r="M84" s="448">
        <v>2083</v>
      </c>
      <c r="N84" s="445"/>
      <c r="O84" s="458">
        <v>15041420.630000001</v>
      </c>
      <c r="P84" s="441">
        <v>15932182.24</v>
      </c>
      <c r="Q84" s="741">
        <f t="shared" si="1"/>
        <v>-890761.6099999994</v>
      </c>
      <c r="R84" s="742"/>
      <c r="S84" s="442">
        <v>62880993.119999997</v>
      </c>
    </row>
    <row r="85" spans="1:22" s="34" customFormat="1" ht="11.25" customHeight="1">
      <c r="A85" s="176" t="s">
        <v>458</v>
      </c>
      <c r="B85" s="686">
        <v>11087842.25</v>
      </c>
      <c r="C85" s="687"/>
      <c r="D85" s="239"/>
      <c r="E85" s="240"/>
      <c r="F85" s="686">
        <v>7976531.4699999997</v>
      </c>
      <c r="G85" s="687"/>
      <c r="H85" s="686">
        <f>H95</f>
        <v>4586654.1500000004</v>
      </c>
      <c r="I85" s="687"/>
      <c r="M85" s="448">
        <v>2084</v>
      </c>
      <c r="N85" s="445"/>
      <c r="O85" s="458">
        <v>15134266.460000001</v>
      </c>
      <c r="P85" s="441">
        <v>16385088.720000001</v>
      </c>
      <c r="Q85" s="741">
        <f t="shared" si="1"/>
        <v>-1250822.2599999998</v>
      </c>
      <c r="R85" s="742"/>
      <c r="S85" s="442">
        <v>65403030.450000003</v>
      </c>
    </row>
    <row r="86" spans="1:22" s="34" customFormat="1" ht="11.25" customHeight="1">
      <c r="A86" s="179" t="s">
        <v>459</v>
      </c>
      <c r="B86" s="686"/>
      <c r="C86" s="687"/>
      <c r="D86" s="241"/>
      <c r="E86" s="242"/>
      <c r="F86" s="686"/>
      <c r="G86" s="687"/>
      <c r="H86" s="686"/>
      <c r="I86" s="687"/>
      <c r="M86" s="448">
        <v>2085</v>
      </c>
      <c r="N86" s="445"/>
      <c r="O86" s="458">
        <v>15098556.529999999</v>
      </c>
      <c r="P86" s="441">
        <v>16210893.92</v>
      </c>
      <c r="Q86" s="741">
        <f t="shared" si="1"/>
        <v>-1112337.3900000006</v>
      </c>
      <c r="R86" s="742"/>
      <c r="S86" s="442">
        <v>68214874.879999995</v>
      </c>
    </row>
    <row r="87" spans="1:22" s="34" customFormat="1" ht="11.25" customHeight="1">
      <c r="A87" s="181" t="s">
        <v>417</v>
      </c>
      <c r="B87" s="686"/>
      <c r="C87" s="687"/>
      <c r="D87" s="241"/>
      <c r="E87" s="242"/>
      <c r="F87" s="686"/>
      <c r="G87" s="687"/>
      <c r="H87" s="686"/>
      <c r="I87" s="687"/>
      <c r="M87" s="448">
        <v>2086</v>
      </c>
      <c r="N87" s="445"/>
      <c r="O87" s="458">
        <v>15105698.51</v>
      </c>
      <c r="P87" s="441">
        <v>16245732.880000001</v>
      </c>
      <c r="Q87" s="741">
        <f t="shared" si="1"/>
        <v>-1140034.370000001</v>
      </c>
      <c r="R87" s="742"/>
      <c r="S87" s="442">
        <v>71167733.010000005</v>
      </c>
    </row>
    <row r="88" spans="1:22" s="34" customFormat="1" ht="11.25" customHeight="1">
      <c r="A88" s="182" t="s">
        <v>418</v>
      </c>
      <c r="B88" s="686"/>
      <c r="C88" s="687"/>
      <c r="D88" s="241"/>
      <c r="E88" s="242"/>
      <c r="F88" s="686"/>
      <c r="G88" s="687"/>
      <c r="H88" s="686"/>
      <c r="I88" s="687"/>
      <c r="M88" s="448">
        <v>2087</v>
      </c>
      <c r="N88" s="445"/>
      <c r="O88" s="458">
        <v>15112840.5</v>
      </c>
      <c r="P88" s="441">
        <v>16280571.84</v>
      </c>
      <c r="Q88" s="741">
        <f t="shared" si="1"/>
        <v>-1167731.3399999999</v>
      </c>
      <c r="R88" s="742"/>
      <c r="S88" s="442">
        <v>74270065.650000006</v>
      </c>
    </row>
    <row r="89" spans="1:22" s="34" customFormat="1" ht="11.25" customHeight="1">
      <c r="A89" s="182" t="s">
        <v>419</v>
      </c>
      <c r="B89" s="686"/>
      <c r="C89" s="687"/>
      <c r="D89" s="241"/>
      <c r="E89" s="242"/>
      <c r="F89" s="686"/>
      <c r="G89" s="687"/>
      <c r="H89" s="686"/>
      <c r="I89" s="687"/>
      <c r="M89" s="448">
        <v>2088</v>
      </c>
      <c r="N89" s="445"/>
      <c r="O89" s="458">
        <v>15069988.58</v>
      </c>
      <c r="P89" s="441">
        <v>16071538.08</v>
      </c>
      <c r="Q89" s="741">
        <f t="shared" si="1"/>
        <v>-1001549.5</v>
      </c>
      <c r="R89" s="742"/>
      <c r="S89" s="442">
        <v>77724720.090000004</v>
      </c>
    </row>
    <row r="90" spans="1:22" s="34" customFormat="1" ht="11.25" customHeight="1">
      <c r="A90" s="182" t="s">
        <v>420</v>
      </c>
      <c r="B90" s="686"/>
      <c r="C90" s="687"/>
      <c r="D90" s="241"/>
      <c r="E90" s="242"/>
      <c r="F90" s="686"/>
      <c r="G90" s="687"/>
      <c r="H90" s="686"/>
      <c r="I90" s="687"/>
      <c r="M90" s="448">
        <v>2089</v>
      </c>
      <c r="N90" s="445"/>
      <c r="O90" s="458">
        <v>14970000.76</v>
      </c>
      <c r="P90" s="441">
        <v>15583792.640000001</v>
      </c>
      <c r="Q90" s="741">
        <f t="shared" si="1"/>
        <v>-613791.88000000082</v>
      </c>
      <c r="R90" s="742"/>
      <c r="S90" s="442">
        <v>81774411.409999996</v>
      </c>
    </row>
    <row r="91" spans="1:22" s="34" customFormat="1" ht="11.25" customHeight="1">
      <c r="A91" s="181" t="s">
        <v>421</v>
      </c>
      <c r="B91" s="686"/>
      <c r="C91" s="687"/>
      <c r="D91" s="241"/>
      <c r="E91" s="242"/>
      <c r="F91" s="686"/>
      <c r="G91" s="687"/>
      <c r="H91" s="686"/>
      <c r="I91" s="687"/>
      <c r="M91" s="448">
        <v>2090</v>
      </c>
      <c r="N91" s="445"/>
      <c r="O91" s="458">
        <v>14862870.960000001</v>
      </c>
      <c r="P91" s="441">
        <v>15061208.24</v>
      </c>
      <c r="Q91" s="741">
        <f t="shared" si="1"/>
        <v>-198337.27999999933</v>
      </c>
      <c r="R91" s="742"/>
      <c r="S91" s="442">
        <v>86482538.819999993</v>
      </c>
    </row>
    <row r="92" spans="1:22" s="34" customFormat="1" ht="11.25" customHeight="1">
      <c r="A92" s="182" t="s">
        <v>418</v>
      </c>
      <c r="B92" s="686"/>
      <c r="C92" s="687"/>
      <c r="D92" s="241"/>
      <c r="E92" s="242"/>
      <c r="F92" s="686"/>
      <c r="G92" s="687"/>
      <c r="H92" s="686"/>
      <c r="I92" s="687"/>
      <c r="M92" s="440">
        <v>2091</v>
      </c>
      <c r="N92" s="449"/>
      <c r="O92" s="458">
        <v>14705747.25</v>
      </c>
      <c r="P92" s="441">
        <v>14294751.119999999</v>
      </c>
      <c r="Q92" s="741">
        <f t="shared" si="1"/>
        <v>410996.13000000082</v>
      </c>
      <c r="R92" s="742"/>
      <c r="S92" s="442">
        <v>92082487.280000001</v>
      </c>
    </row>
    <row r="93" spans="1:22" s="34" customFormat="1" ht="11.25" customHeight="1">
      <c r="A93" s="182" t="s">
        <v>419</v>
      </c>
      <c r="B93" s="686"/>
      <c r="C93" s="687"/>
      <c r="D93" s="241"/>
      <c r="E93" s="242"/>
      <c r="F93" s="686"/>
      <c r="G93" s="687"/>
      <c r="H93" s="686"/>
      <c r="I93" s="687"/>
      <c r="M93" s="740" t="s">
        <v>796</v>
      </c>
      <c r="N93" s="740"/>
      <c r="O93" s="740"/>
      <c r="P93" s="740"/>
      <c r="Q93" s="740"/>
      <c r="R93" s="740"/>
      <c r="S93" s="740"/>
      <c r="T93" s="740"/>
      <c r="U93" s="740"/>
      <c r="V93" s="740"/>
    </row>
    <row r="94" spans="1:22" s="34" customFormat="1" ht="11.25" customHeight="1">
      <c r="A94" s="182" t="s">
        <v>420</v>
      </c>
      <c r="B94" s="686"/>
      <c r="C94" s="687"/>
      <c r="D94" s="241"/>
      <c r="E94" s="242"/>
      <c r="F94" s="686"/>
      <c r="G94" s="687"/>
      <c r="H94" s="686"/>
      <c r="I94" s="687"/>
      <c r="M94" s="447" t="s">
        <v>791</v>
      </c>
      <c r="N94" s="447"/>
      <c r="O94" s="447"/>
      <c r="P94" s="447"/>
      <c r="Q94" s="447"/>
      <c r="R94" s="447"/>
    </row>
    <row r="95" spans="1:22" s="34" customFormat="1" ht="11.25" customHeight="1">
      <c r="A95" s="179" t="s">
        <v>460</v>
      </c>
      <c r="B95" s="686"/>
      <c r="C95" s="687"/>
      <c r="D95" s="241"/>
      <c r="E95" s="242"/>
      <c r="F95" s="686">
        <v>4871717.74</v>
      </c>
      <c r="G95" s="687"/>
      <c r="H95" s="686">
        <f>H97+H104+H112</f>
        <v>4586654.1500000004</v>
      </c>
      <c r="I95" s="687"/>
    </row>
    <row r="96" spans="1:22" s="34" customFormat="1" ht="11.25" customHeight="1">
      <c r="A96" s="181" t="s">
        <v>417</v>
      </c>
      <c r="B96" s="686"/>
      <c r="C96" s="687"/>
      <c r="D96" s="241"/>
      <c r="E96" s="242"/>
      <c r="F96" s="686"/>
      <c r="G96" s="687"/>
      <c r="H96" s="686"/>
      <c r="I96" s="687"/>
    </row>
    <row r="97" spans="1:9" s="34" customFormat="1" ht="11.25" customHeight="1">
      <c r="A97" s="182" t="s">
        <v>418</v>
      </c>
      <c r="B97" s="686"/>
      <c r="C97" s="687"/>
      <c r="D97" s="241"/>
      <c r="E97" s="242"/>
      <c r="F97" s="686">
        <v>4871717.74</v>
      </c>
      <c r="G97" s="687"/>
      <c r="H97" s="686">
        <v>2975987.1</v>
      </c>
      <c r="I97" s="687"/>
    </row>
    <row r="98" spans="1:9" s="34" customFormat="1" ht="11.25" customHeight="1">
      <c r="A98" s="182" t="s">
        <v>419</v>
      </c>
      <c r="B98" s="686"/>
      <c r="C98" s="687"/>
      <c r="D98" s="241"/>
      <c r="E98" s="242"/>
      <c r="F98" s="686"/>
      <c r="G98" s="687"/>
      <c r="H98" s="686"/>
      <c r="I98" s="687"/>
    </row>
    <row r="99" spans="1:9" s="34" customFormat="1" ht="11.25" customHeight="1">
      <c r="A99" s="182" t="s">
        <v>420</v>
      </c>
      <c r="B99" s="686"/>
      <c r="C99" s="687"/>
      <c r="D99" s="241"/>
      <c r="E99" s="242"/>
      <c r="F99" s="686"/>
      <c r="G99" s="687"/>
      <c r="H99" s="686"/>
      <c r="I99" s="687"/>
    </row>
    <row r="100" spans="1:9" s="34" customFormat="1" ht="11.25" customHeight="1">
      <c r="A100" s="181" t="s">
        <v>421</v>
      </c>
      <c r="B100" s="686"/>
      <c r="C100" s="687"/>
      <c r="D100" s="241"/>
      <c r="E100" s="242"/>
      <c r="F100" s="686"/>
      <c r="G100" s="687"/>
      <c r="H100" s="686"/>
      <c r="I100" s="687"/>
    </row>
    <row r="101" spans="1:9" s="34" customFormat="1" ht="11.25" customHeight="1">
      <c r="A101" s="182" t="s">
        <v>418</v>
      </c>
      <c r="B101" s="686"/>
      <c r="C101" s="687"/>
      <c r="D101" s="241"/>
      <c r="E101" s="242"/>
      <c r="F101" s="686"/>
      <c r="G101" s="687"/>
      <c r="H101" s="686"/>
      <c r="I101" s="687"/>
    </row>
    <row r="102" spans="1:9" s="34" customFormat="1" ht="11.25" customHeight="1">
      <c r="A102" s="182" t="s">
        <v>419</v>
      </c>
      <c r="B102" s="686"/>
      <c r="C102" s="687"/>
      <c r="D102" s="241"/>
      <c r="E102" s="242"/>
      <c r="F102" s="686"/>
      <c r="G102" s="687"/>
      <c r="H102" s="686"/>
      <c r="I102" s="687"/>
    </row>
    <row r="103" spans="1:9" s="34" customFormat="1" ht="11.25" customHeight="1">
      <c r="A103" s="182" t="s">
        <v>420</v>
      </c>
      <c r="B103" s="686"/>
      <c r="C103" s="687"/>
      <c r="D103" s="241"/>
      <c r="E103" s="242"/>
      <c r="F103" s="686"/>
      <c r="G103" s="687"/>
      <c r="H103" s="686"/>
      <c r="I103" s="687"/>
    </row>
    <row r="104" spans="1:9" s="34" customFormat="1" ht="11.25" customHeight="1">
      <c r="A104" s="181" t="s">
        <v>634</v>
      </c>
      <c r="B104" s="686">
        <v>1212834.56</v>
      </c>
      <c r="C104" s="687"/>
      <c r="D104" s="241"/>
      <c r="E104" s="242"/>
      <c r="F104" s="686">
        <f>F95-F112</f>
        <v>1766904.0100000002</v>
      </c>
      <c r="G104" s="687"/>
      <c r="H104" s="686">
        <v>1013171.91</v>
      </c>
      <c r="I104" s="687"/>
    </row>
    <row r="105" spans="1:9" s="34" customFormat="1" ht="11.25" customHeight="1">
      <c r="A105" s="179" t="s">
        <v>239</v>
      </c>
      <c r="B105" s="686"/>
      <c r="C105" s="687"/>
      <c r="D105" s="241"/>
      <c r="E105" s="242"/>
      <c r="F105" s="686"/>
      <c r="G105" s="687"/>
      <c r="H105" s="686"/>
      <c r="I105" s="687"/>
    </row>
    <row r="106" spans="1:9" s="34" customFormat="1" ht="11.25" customHeight="1">
      <c r="A106" s="181" t="s">
        <v>424</v>
      </c>
      <c r="B106" s="686"/>
      <c r="C106" s="687"/>
      <c r="D106" s="241"/>
      <c r="E106" s="242"/>
      <c r="F106" s="686"/>
      <c r="G106" s="687"/>
      <c r="H106" s="686"/>
      <c r="I106" s="687"/>
    </row>
    <row r="107" spans="1:9" s="34" customFormat="1" ht="11.25" customHeight="1">
      <c r="A107" s="181" t="s">
        <v>425</v>
      </c>
      <c r="B107" s="686"/>
      <c r="C107" s="687"/>
      <c r="D107" s="241"/>
      <c r="E107" s="242"/>
      <c r="F107" s="686"/>
      <c r="G107" s="687"/>
      <c r="H107" s="686"/>
      <c r="I107" s="687"/>
    </row>
    <row r="108" spans="1:9" s="34" customFormat="1" ht="11.25" customHeight="1">
      <c r="A108" s="181" t="s">
        <v>426</v>
      </c>
      <c r="B108" s="686"/>
      <c r="C108" s="687"/>
      <c r="D108" s="241"/>
      <c r="E108" s="242"/>
      <c r="F108" s="686"/>
      <c r="G108" s="687"/>
      <c r="H108" s="686"/>
      <c r="I108" s="687"/>
    </row>
    <row r="109" spans="1:9" s="34" customFormat="1" ht="11.25" customHeight="1">
      <c r="A109" s="179" t="s">
        <v>262</v>
      </c>
      <c r="B109" s="686"/>
      <c r="C109" s="687"/>
      <c r="D109" s="241"/>
      <c r="E109" s="242"/>
      <c r="F109" s="686"/>
      <c r="G109" s="687"/>
      <c r="H109" s="686"/>
      <c r="I109" s="687"/>
    </row>
    <row r="110" spans="1:9" s="34" customFormat="1" ht="11.25" customHeight="1">
      <c r="A110" s="179" t="s">
        <v>318</v>
      </c>
      <c r="B110" s="686"/>
      <c r="C110" s="687"/>
      <c r="D110" s="241"/>
      <c r="E110" s="242"/>
      <c r="F110" s="686"/>
      <c r="G110" s="687"/>
      <c r="H110" s="686"/>
      <c r="I110" s="687"/>
    </row>
    <row r="111" spans="1:9" s="34" customFormat="1" ht="11.25" customHeight="1">
      <c r="A111" s="181" t="s">
        <v>428</v>
      </c>
      <c r="B111" s="686"/>
      <c r="C111" s="687"/>
      <c r="D111" s="241"/>
      <c r="E111" s="242"/>
      <c r="F111" s="686"/>
      <c r="G111" s="687"/>
      <c r="H111" s="686"/>
      <c r="I111" s="687"/>
    </row>
    <row r="112" spans="1:9" s="34" customFormat="1" ht="11.25" customHeight="1">
      <c r="A112" s="181" t="s">
        <v>324</v>
      </c>
      <c r="B112" s="686"/>
      <c r="C112" s="687"/>
      <c r="D112" s="241"/>
      <c r="E112" s="242"/>
      <c r="F112" s="686">
        <v>3104813.73</v>
      </c>
      <c r="G112" s="687"/>
      <c r="H112" s="686">
        <v>597495.14</v>
      </c>
      <c r="I112" s="687"/>
    </row>
    <row r="113" spans="1:9" s="34" customFormat="1" ht="11.25" customHeight="1">
      <c r="A113" s="183" t="s">
        <v>461</v>
      </c>
      <c r="B113" s="686"/>
      <c r="C113" s="687"/>
      <c r="D113" s="241"/>
      <c r="E113" s="242"/>
      <c r="F113" s="686"/>
      <c r="G113" s="687"/>
      <c r="H113" s="686"/>
      <c r="I113" s="687"/>
    </row>
    <row r="114" spans="1:9" s="34" customFormat="1" ht="11.25" customHeight="1">
      <c r="A114" s="179" t="s">
        <v>430</v>
      </c>
      <c r="B114" s="686"/>
      <c r="C114" s="687"/>
      <c r="D114" s="241"/>
      <c r="E114" s="242"/>
      <c r="F114" s="686"/>
      <c r="G114" s="687"/>
      <c r="H114" s="686"/>
      <c r="I114" s="687"/>
    </row>
    <row r="115" spans="1:9" s="34" customFormat="1" ht="11.25" customHeight="1">
      <c r="A115" s="179" t="s">
        <v>343</v>
      </c>
      <c r="B115" s="686"/>
      <c r="C115" s="687"/>
      <c r="D115" s="241"/>
      <c r="E115" s="242"/>
      <c r="F115" s="686"/>
      <c r="G115" s="687"/>
      <c r="H115" s="686"/>
      <c r="I115" s="687"/>
    </row>
    <row r="116" spans="1:9" s="34" customFormat="1" ht="11.25" customHeight="1">
      <c r="A116" s="179" t="s">
        <v>354</v>
      </c>
      <c r="B116" s="686"/>
      <c r="C116" s="687"/>
      <c r="D116" s="241"/>
      <c r="E116" s="242"/>
      <c r="F116" s="686"/>
      <c r="G116" s="687"/>
      <c r="H116" s="686"/>
      <c r="I116" s="687"/>
    </row>
    <row r="117" spans="1:9" s="34" customFormat="1" ht="11.25" customHeight="1">
      <c r="A117" s="228" t="s">
        <v>462</v>
      </c>
      <c r="B117" s="706">
        <f>B85+B113</f>
        <v>11087842.25</v>
      </c>
      <c r="C117" s="730"/>
      <c r="D117" s="243"/>
      <c r="E117" s="244"/>
      <c r="F117" s="733">
        <f>F85+F113</f>
        <v>7976531.4699999997</v>
      </c>
      <c r="G117" s="734"/>
      <c r="H117" s="733">
        <f>H85+H113</f>
        <v>4586654.1500000004</v>
      </c>
      <c r="I117" s="734"/>
    </row>
    <row r="118" spans="1:9" s="34" customFormat="1" ht="11.25" customHeight="1">
      <c r="A118" s="135"/>
      <c r="B118" s="185"/>
      <c r="C118" s="185"/>
      <c r="D118" s="185"/>
      <c r="E118" s="185"/>
      <c r="F118" s="186"/>
      <c r="G118" s="135"/>
      <c r="H118" s="135"/>
      <c r="I118" s="135"/>
    </row>
    <row r="119" spans="1:9" s="34" customFormat="1" ht="11.25" customHeight="1">
      <c r="A119" s="187" t="s">
        <v>432</v>
      </c>
      <c r="B119" s="684">
        <f>B84</f>
        <v>2017</v>
      </c>
      <c r="C119" s="688"/>
      <c r="D119" s="688"/>
      <c r="E119" s="229"/>
      <c r="F119" s="684">
        <f>F84</f>
        <v>2016</v>
      </c>
      <c r="G119" s="685"/>
      <c r="H119" s="684">
        <f>H84</f>
        <v>2015</v>
      </c>
      <c r="I119" s="685"/>
    </row>
    <row r="120" spans="1:9" s="34" customFormat="1" ht="11.25" customHeight="1">
      <c r="A120" s="188" t="s">
        <v>463</v>
      </c>
      <c r="B120" s="677"/>
      <c r="C120" s="678"/>
      <c r="D120" s="230"/>
      <c r="E120" s="230"/>
      <c r="F120" s="677"/>
      <c r="G120" s="678"/>
      <c r="H120" s="677"/>
      <c r="I120" s="678"/>
    </row>
    <row r="121" spans="1:9" s="34" customFormat="1" ht="11.25" customHeight="1">
      <c r="A121" s="191" t="s">
        <v>434</v>
      </c>
      <c r="B121" s="677"/>
      <c r="C121" s="678"/>
      <c r="D121" s="230"/>
      <c r="E121" s="230"/>
      <c r="F121" s="677"/>
      <c r="G121" s="678"/>
      <c r="H121" s="677"/>
      <c r="I121" s="678"/>
    </row>
    <row r="122" spans="1:9" s="34" customFormat="1" ht="11.25" customHeight="1">
      <c r="A122" s="191" t="s">
        <v>435</v>
      </c>
      <c r="B122" s="677"/>
      <c r="C122" s="678"/>
      <c r="D122" s="230"/>
      <c r="E122" s="230"/>
      <c r="F122" s="677"/>
      <c r="G122" s="678"/>
      <c r="H122" s="677"/>
      <c r="I122" s="678"/>
    </row>
    <row r="123" spans="1:9" s="34" customFormat="1" ht="11.25" customHeight="1">
      <c r="A123" s="194" t="s">
        <v>464</v>
      </c>
      <c r="B123" s="677"/>
      <c r="C123" s="678"/>
      <c r="D123" s="230"/>
      <c r="E123" s="230"/>
      <c r="F123" s="677"/>
      <c r="G123" s="678"/>
      <c r="H123" s="677"/>
      <c r="I123" s="678"/>
    </row>
    <row r="124" spans="1:9" s="34" customFormat="1" ht="11.25" customHeight="1">
      <c r="A124" s="179" t="s">
        <v>437</v>
      </c>
      <c r="B124" s="677"/>
      <c r="C124" s="678"/>
      <c r="D124" s="230"/>
      <c r="E124" s="230"/>
      <c r="F124" s="677"/>
      <c r="G124" s="678"/>
      <c r="H124" s="677"/>
      <c r="I124" s="678"/>
    </row>
    <row r="125" spans="1:9" s="34" customFormat="1" ht="11.25" customHeight="1">
      <c r="A125" s="195" t="s">
        <v>465</v>
      </c>
      <c r="B125" s="677"/>
      <c r="C125" s="678"/>
      <c r="D125" s="230"/>
      <c r="E125" s="230"/>
      <c r="F125" s="677"/>
      <c r="G125" s="678"/>
      <c r="H125" s="677"/>
      <c r="I125" s="678"/>
    </row>
    <row r="126" spans="1:9" s="34" customFormat="1" ht="11.25" customHeight="1">
      <c r="A126" s="195" t="s">
        <v>439</v>
      </c>
      <c r="B126" s="677"/>
      <c r="C126" s="678"/>
      <c r="D126" s="230"/>
      <c r="E126" s="230"/>
      <c r="F126" s="677"/>
      <c r="G126" s="678"/>
      <c r="H126" s="677"/>
      <c r="I126" s="678"/>
    </row>
    <row r="127" spans="1:9" s="34" customFormat="1" ht="11.25" customHeight="1">
      <c r="A127" s="195" t="s">
        <v>440</v>
      </c>
      <c r="B127" s="677"/>
      <c r="C127" s="678"/>
      <c r="D127" s="230"/>
      <c r="E127" s="230"/>
      <c r="F127" s="677"/>
      <c r="G127" s="678"/>
      <c r="H127" s="677"/>
      <c r="I127" s="678"/>
    </row>
    <row r="128" spans="1:9" s="34" customFormat="1" ht="11.25" customHeight="1">
      <c r="A128" s="179" t="s">
        <v>441</v>
      </c>
      <c r="B128" s="677"/>
      <c r="C128" s="678"/>
      <c r="D128" s="230"/>
      <c r="E128" s="230"/>
      <c r="F128" s="677"/>
      <c r="G128" s="678"/>
      <c r="H128" s="677"/>
      <c r="I128" s="678"/>
    </row>
    <row r="129" spans="1:9" s="34" customFormat="1" ht="11.25" customHeight="1">
      <c r="A129" s="195" t="s">
        <v>442</v>
      </c>
      <c r="B129" s="677"/>
      <c r="C129" s="678"/>
      <c r="D129" s="230"/>
      <c r="E129" s="230"/>
      <c r="F129" s="677"/>
      <c r="G129" s="678"/>
      <c r="H129" s="677"/>
      <c r="I129" s="678"/>
    </row>
    <row r="130" spans="1:9" s="34" customFormat="1" ht="11.25" customHeight="1">
      <c r="A130" s="195" t="s">
        <v>439</v>
      </c>
      <c r="B130" s="677"/>
      <c r="C130" s="678"/>
      <c r="D130" s="230"/>
      <c r="E130" s="230"/>
      <c r="F130" s="677"/>
      <c r="G130" s="678"/>
      <c r="H130" s="677"/>
      <c r="I130" s="678"/>
    </row>
    <row r="131" spans="1:9" s="34" customFormat="1" ht="11.25" customHeight="1">
      <c r="A131" s="195" t="s">
        <v>440</v>
      </c>
      <c r="B131" s="677"/>
      <c r="C131" s="678"/>
      <c r="D131" s="230"/>
      <c r="E131" s="230"/>
      <c r="F131" s="677"/>
      <c r="G131" s="678"/>
      <c r="H131" s="677"/>
      <c r="I131" s="678"/>
    </row>
    <row r="132" spans="1:9" s="34" customFormat="1" ht="11.25" customHeight="1">
      <c r="A132" s="191" t="s">
        <v>443</v>
      </c>
      <c r="B132" s="677"/>
      <c r="C132" s="678"/>
      <c r="D132" s="230"/>
      <c r="E132" s="230"/>
      <c r="F132" s="677"/>
      <c r="G132" s="678"/>
      <c r="H132" s="677"/>
      <c r="I132" s="678"/>
    </row>
    <row r="133" spans="1:9" s="34" customFormat="1" ht="11.25" customHeight="1">
      <c r="A133" s="195" t="s">
        <v>444</v>
      </c>
      <c r="B133" s="677"/>
      <c r="C133" s="678"/>
      <c r="D133" s="230"/>
      <c r="E133" s="230"/>
      <c r="F133" s="677"/>
      <c r="G133" s="678"/>
      <c r="H133" s="677"/>
      <c r="I133" s="678"/>
    </row>
    <row r="134" spans="1:9" s="34" customFormat="1" ht="11.25" customHeight="1">
      <c r="A134" s="195" t="s">
        <v>445</v>
      </c>
      <c r="B134" s="677"/>
      <c r="C134" s="678"/>
      <c r="D134" s="230"/>
      <c r="E134" s="230"/>
      <c r="F134" s="677"/>
      <c r="G134" s="678"/>
      <c r="H134" s="677"/>
      <c r="I134" s="678"/>
    </row>
    <row r="135" spans="1:9" s="34" customFormat="1" ht="11.25" customHeight="1">
      <c r="A135" s="198" t="s">
        <v>466</v>
      </c>
      <c r="B135" s="722"/>
      <c r="C135" s="723"/>
      <c r="D135" s="723"/>
      <c r="E135" s="724"/>
      <c r="F135" s="608"/>
      <c r="G135" s="610"/>
      <c r="H135" s="725"/>
      <c r="I135" s="726"/>
    </row>
    <row r="136" spans="1:9" s="34" customFormat="1" ht="11.25" customHeight="1">
      <c r="A136" s="199"/>
      <c r="B136" s="200"/>
      <c r="C136" s="200"/>
      <c r="D136" s="201"/>
      <c r="E136" s="201"/>
      <c r="F136" s="201"/>
      <c r="G136" s="202"/>
      <c r="H136" s="202"/>
      <c r="I136" s="202"/>
    </row>
    <row r="137" spans="1:9" s="34" customFormat="1" ht="11.25" customHeight="1">
      <c r="A137" s="203" t="s">
        <v>467</v>
      </c>
      <c r="B137" s="727">
        <f>B117-B135</f>
        <v>11087842.25</v>
      </c>
      <c r="C137" s="728"/>
      <c r="D137" s="728"/>
      <c r="E137" s="729"/>
      <c r="F137" s="679">
        <f>F117-F135</f>
        <v>7976531.4699999997</v>
      </c>
      <c r="G137" s="594"/>
      <c r="H137" s="679">
        <v>4586654.1500000004</v>
      </c>
      <c r="I137" s="594"/>
    </row>
    <row r="138" spans="1:9" s="34" customFormat="1" ht="11.25" customHeight="1">
      <c r="A138" s="202"/>
      <c r="B138" s="211"/>
      <c r="C138" s="212"/>
      <c r="D138" s="212"/>
      <c r="E138" s="212"/>
      <c r="F138" s="212"/>
      <c r="G138" s="135"/>
      <c r="H138" s="135"/>
      <c r="I138" s="135"/>
    </row>
    <row r="139" spans="1:9" s="34" customFormat="1" ht="11.25" customHeight="1">
      <c r="A139" s="207" t="s">
        <v>468</v>
      </c>
      <c r="B139" s="680">
        <f>B119</f>
        <v>2017</v>
      </c>
      <c r="C139" s="693"/>
      <c r="D139" s="693"/>
      <c r="E139" s="681"/>
      <c r="F139" s="680">
        <f>F119</f>
        <v>2016</v>
      </c>
      <c r="G139" s="681"/>
      <c r="H139" s="680">
        <f>H119</f>
        <v>2015</v>
      </c>
      <c r="I139" s="681"/>
    </row>
    <row r="140" spans="1:9" s="34" customFormat="1" ht="11.25" customHeight="1">
      <c r="A140" s="213" t="s">
        <v>469</v>
      </c>
      <c r="B140" s="682"/>
      <c r="C140" s="683"/>
      <c r="D140" s="451"/>
      <c r="E140" s="452"/>
      <c r="F140" s="682"/>
      <c r="G140" s="683"/>
      <c r="H140" s="682">
        <v>597495.14</v>
      </c>
      <c r="I140" s="683"/>
    </row>
    <row r="141" spans="1:9" s="34" customFormat="1" ht="11.25" customHeight="1">
      <c r="A141" s="231" t="s">
        <v>470</v>
      </c>
      <c r="B141" s="677"/>
      <c r="C141" s="678"/>
      <c r="D141" s="217"/>
      <c r="E141" s="218"/>
      <c r="F141" s="677"/>
      <c r="G141" s="678"/>
      <c r="H141" s="677"/>
      <c r="I141" s="678"/>
    </row>
    <row r="142" spans="1:9" s="34" customFormat="1" ht="11.25" customHeight="1" thickBot="1">
      <c r="A142" s="232"/>
      <c r="B142" s="233"/>
      <c r="C142" s="233"/>
      <c r="D142" s="234"/>
      <c r="E142" s="235"/>
      <c r="F142" s="234"/>
      <c r="G142" s="235"/>
      <c r="H142" s="234"/>
      <c r="I142" s="235"/>
    </row>
    <row r="143" spans="1:9" ht="11.25" customHeight="1">
      <c r="A143" s="715" t="s">
        <v>792</v>
      </c>
      <c r="B143" s="715"/>
      <c r="C143" s="715"/>
      <c r="D143" s="715"/>
      <c r="E143" s="715"/>
      <c r="F143" s="715"/>
      <c r="G143" s="715"/>
      <c r="H143" s="715"/>
      <c r="I143" s="715"/>
    </row>
    <row r="144" spans="1:9" ht="11.25" customHeight="1">
      <c r="A144" s="135"/>
      <c r="B144" s="135"/>
      <c r="C144" s="135"/>
      <c r="D144" s="135"/>
      <c r="E144" s="135"/>
      <c r="F144" s="135"/>
      <c r="G144" s="135"/>
      <c r="H144" s="238"/>
      <c r="I144" s="238"/>
    </row>
    <row r="145" spans="1:9" ht="11.25" customHeight="1">
      <c r="A145" s="135"/>
      <c r="B145" s="135"/>
      <c r="C145" s="135"/>
      <c r="D145" s="135"/>
      <c r="E145" s="135"/>
      <c r="F145" s="135"/>
      <c r="G145" s="135"/>
      <c r="H145" s="238"/>
      <c r="I145" s="238"/>
    </row>
    <row r="146" spans="1:9" ht="11.25" customHeight="1">
      <c r="A146" s="135"/>
      <c r="B146" s="135"/>
      <c r="C146" s="135"/>
      <c r="D146" s="135"/>
      <c r="E146" s="135"/>
      <c r="F146" s="135"/>
      <c r="G146" s="135"/>
      <c r="H146" s="135"/>
      <c r="I146" s="135"/>
    </row>
    <row r="147" spans="1:9" ht="11.25" customHeight="1">
      <c r="A147" s="135"/>
      <c r="B147" s="135"/>
      <c r="C147" s="135"/>
      <c r="D147" s="135"/>
      <c r="E147" s="135"/>
      <c r="F147" s="135"/>
      <c r="G147" s="135"/>
      <c r="H147" s="135"/>
      <c r="I147" s="135"/>
    </row>
    <row r="148" spans="1:9" ht="11.25" customHeight="1">
      <c r="A148" s="135"/>
      <c r="B148" s="135"/>
      <c r="C148" s="135"/>
      <c r="D148" s="135"/>
      <c r="E148" s="135"/>
      <c r="F148" s="135"/>
      <c r="G148" s="135"/>
      <c r="H148" s="135"/>
      <c r="I148" s="135"/>
    </row>
    <row r="149" spans="1:9" ht="11.25" customHeight="1">
      <c r="A149" s="135"/>
      <c r="B149" s="135"/>
      <c r="C149" s="135"/>
      <c r="D149" s="135"/>
      <c r="E149" s="135"/>
      <c r="F149" s="135"/>
      <c r="G149" s="135"/>
      <c r="H149" s="135"/>
      <c r="I149" s="135"/>
    </row>
    <row r="150" spans="1:9" ht="11.25" customHeight="1">
      <c r="A150" s="135"/>
      <c r="B150" s="135"/>
      <c r="C150" s="135"/>
      <c r="D150" s="135"/>
      <c r="E150" s="135"/>
      <c r="F150" s="135"/>
      <c r="G150" s="135"/>
      <c r="H150" s="135"/>
      <c r="I150" s="135"/>
    </row>
    <row r="151" spans="1:9" ht="11.25" customHeight="1">
      <c r="A151" s="135"/>
      <c r="B151" s="135"/>
      <c r="C151" s="135"/>
      <c r="D151" s="135"/>
      <c r="E151" s="135"/>
      <c r="F151" s="135"/>
      <c r="G151" s="135"/>
      <c r="H151" s="135"/>
      <c r="I151" s="135"/>
    </row>
    <row r="152" spans="1:9" ht="11.25" customHeight="1">
      <c r="A152" s="135"/>
      <c r="B152" s="135"/>
      <c r="C152" s="135"/>
      <c r="D152" s="135"/>
      <c r="E152" s="135"/>
      <c r="F152" s="135"/>
      <c r="G152" s="135"/>
      <c r="H152" s="135"/>
      <c r="I152" s="135"/>
    </row>
    <row r="153" spans="1:9" ht="11.25" customHeight="1">
      <c r="A153" s="135"/>
      <c r="B153" s="135"/>
      <c r="C153" s="135"/>
      <c r="D153" s="135"/>
      <c r="E153" s="135"/>
      <c r="F153" s="135"/>
      <c r="G153" s="135"/>
      <c r="H153" s="135"/>
      <c r="I153" s="135"/>
    </row>
    <row r="154" spans="1:9" ht="11.25" customHeight="1">
      <c r="A154" s="135"/>
      <c r="B154" s="135"/>
      <c r="C154" s="135"/>
      <c r="D154" s="135"/>
      <c r="E154" s="135"/>
      <c r="F154" s="135"/>
      <c r="G154" s="135"/>
      <c r="H154" s="135"/>
      <c r="I154" s="135"/>
    </row>
    <row r="155" spans="1:9" ht="11.25" customHeight="1">
      <c r="A155" s="135"/>
      <c r="B155" s="135"/>
      <c r="C155" s="135"/>
      <c r="D155" s="135"/>
      <c r="E155" s="135"/>
      <c r="F155" s="135"/>
      <c r="G155" s="135"/>
      <c r="H155" s="135"/>
      <c r="I155" s="135"/>
    </row>
    <row r="156" spans="1:9" ht="11.25" customHeight="1">
      <c r="A156" s="135"/>
      <c r="B156" s="135"/>
      <c r="C156" s="135"/>
      <c r="D156" s="135"/>
      <c r="E156" s="135"/>
      <c r="F156" s="135"/>
      <c r="G156" s="135"/>
      <c r="H156" s="135"/>
      <c r="I156" s="135"/>
    </row>
    <row r="157" spans="1:9" ht="11.25" customHeight="1">
      <c r="A157" s="135"/>
      <c r="B157" s="135"/>
      <c r="C157" s="135"/>
      <c r="D157" s="135"/>
      <c r="E157" s="135"/>
      <c r="F157" s="135"/>
      <c r="G157" s="135"/>
      <c r="H157" s="135"/>
      <c r="I157" s="135"/>
    </row>
    <row r="158" spans="1:9" ht="11.25" customHeight="1">
      <c r="A158" s="135"/>
      <c r="B158" s="135"/>
      <c r="C158" s="135"/>
      <c r="D158" s="135"/>
      <c r="E158" s="135"/>
      <c r="F158" s="135"/>
      <c r="G158" s="135"/>
      <c r="H158" s="135"/>
      <c r="I158" s="135"/>
    </row>
    <row r="159" spans="1:9" ht="11.25" customHeight="1">
      <c r="A159" s="135"/>
      <c r="B159" s="135"/>
      <c r="C159" s="135"/>
      <c r="D159" s="135"/>
      <c r="E159" s="135"/>
      <c r="F159" s="135"/>
      <c r="G159" s="135"/>
      <c r="H159" s="135"/>
      <c r="I159" s="135"/>
    </row>
    <row r="160" spans="1:9" ht="11.25" customHeight="1">
      <c r="A160" s="135"/>
      <c r="B160" s="135"/>
      <c r="C160" s="135"/>
      <c r="D160" s="135"/>
      <c r="E160" s="135"/>
      <c r="F160" s="135"/>
      <c r="G160" s="135"/>
      <c r="H160" s="135"/>
      <c r="I160" s="135"/>
    </row>
    <row r="161" spans="1:9" ht="11.25" customHeight="1">
      <c r="A161" s="135"/>
      <c r="B161" s="135"/>
      <c r="C161" s="135"/>
      <c r="D161" s="135"/>
      <c r="E161" s="135"/>
      <c r="F161" s="135"/>
      <c r="G161" s="135"/>
      <c r="H161" s="135"/>
      <c r="I161" s="135"/>
    </row>
    <row r="177" spans="8:9" ht="11.25" customHeight="1">
      <c r="H177" s="88"/>
      <c r="I177" s="88"/>
    </row>
    <row r="178" spans="8:9" ht="11.25" customHeight="1">
      <c r="H178" s="88"/>
      <c r="I178" s="88"/>
    </row>
    <row r="188" spans="8:9" ht="11.25" customHeight="1">
      <c r="H188" s="88"/>
      <c r="I188" s="88"/>
    </row>
  </sheetData>
  <mergeCells count="449">
    <mergeCell ref="Q41:R41"/>
    <mergeCell ref="Q40:R40"/>
    <mergeCell ref="Q39:R39"/>
    <mergeCell ref="F117:G117"/>
    <mergeCell ref="B117:C117"/>
    <mergeCell ref="H117:I117"/>
    <mergeCell ref="Q46:R46"/>
    <mergeCell ref="Q47:R47"/>
    <mergeCell ref="Q45:R45"/>
    <mergeCell ref="Q44:R44"/>
    <mergeCell ref="Q54:R54"/>
    <mergeCell ref="Q43:R43"/>
    <mergeCell ref="Q42:R42"/>
    <mergeCell ref="Q53:R53"/>
    <mergeCell ref="Q52:R52"/>
    <mergeCell ref="Q51:R51"/>
    <mergeCell ref="Q50:R50"/>
    <mergeCell ref="Q48:R48"/>
    <mergeCell ref="Q49:R49"/>
    <mergeCell ref="Q63:R63"/>
    <mergeCell ref="Q62:R62"/>
    <mergeCell ref="Q61:R61"/>
    <mergeCell ref="Q60:R60"/>
    <mergeCell ref="Q59:R59"/>
    <mergeCell ref="Q55:R55"/>
    <mergeCell ref="Q72:R72"/>
    <mergeCell ref="Q71:R71"/>
    <mergeCell ref="Q69:R69"/>
    <mergeCell ref="Q70:R70"/>
    <mergeCell ref="Q68:R68"/>
    <mergeCell ref="Q67:R67"/>
    <mergeCell ref="Q66:R66"/>
    <mergeCell ref="Q65:R65"/>
    <mergeCell ref="Q64:R64"/>
    <mergeCell ref="Q78:R78"/>
    <mergeCell ref="Q77:R77"/>
    <mergeCell ref="Q76:R76"/>
    <mergeCell ref="Q75:R75"/>
    <mergeCell ref="Q74:R74"/>
    <mergeCell ref="Q73:R73"/>
    <mergeCell ref="Q58:R58"/>
    <mergeCell ref="Q57:R57"/>
    <mergeCell ref="Q56:R5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18:R18"/>
    <mergeCell ref="Q20:R20"/>
    <mergeCell ref="Q19:R19"/>
    <mergeCell ref="Q21:R21"/>
    <mergeCell ref="Q22:R22"/>
    <mergeCell ref="Q23:R23"/>
    <mergeCell ref="Q24:R24"/>
    <mergeCell ref="Q25:R25"/>
    <mergeCell ref="Q26:R26"/>
    <mergeCell ref="F33:G33"/>
    <mergeCell ref="H35:I35"/>
    <mergeCell ref="H36:I36"/>
    <mergeCell ref="H37:I37"/>
    <mergeCell ref="H38:I38"/>
    <mergeCell ref="F53:G53"/>
    <mergeCell ref="M93:V93"/>
    <mergeCell ref="Q92:R92"/>
    <mergeCell ref="Q36:R36"/>
    <mergeCell ref="Q37:R37"/>
    <mergeCell ref="Q38:R38"/>
    <mergeCell ref="Q91:R91"/>
    <mergeCell ref="Q90:R90"/>
    <mergeCell ref="Q89:R89"/>
    <mergeCell ref="Q88:R88"/>
    <mergeCell ref="Q87:R87"/>
    <mergeCell ref="Q86:R86"/>
    <mergeCell ref="Q84:R84"/>
    <mergeCell ref="Q85:R85"/>
    <mergeCell ref="Q83:R83"/>
    <mergeCell ref="Q82:R82"/>
    <mergeCell ref="Q81:R81"/>
    <mergeCell ref="Q80:R80"/>
    <mergeCell ref="Q79:R79"/>
    <mergeCell ref="A1:G1"/>
    <mergeCell ref="A2:G2"/>
    <mergeCell ref="A3:G3"/>
    <mergeCell ref="A4:G4"/>
    <mergeCell ref="A6:G6"/>
    <mergeCell ref="A5:G5"/>
    <mergeCell ref="B18:C18"/>
    <mergeCell ref="B19:C19"/>
    <mergeCell ref="B16:C16"/>
    <mergeCell ref="B17:C17"/>
    <mergeCell ref="B11:C11"/>
    <mergeCell ref="B12:C12"/>
    <mergeCell ref="B13:C13"/>
    <mergeCell ref="B14:C14"/>
    <mergeCell ref="B15:C15"/>
    <mergeCell ref="F11:G11"/>
    <mergeCell ref="F12:G12"/>
    <mergeCell ref="F13:G13"/>
    <mergeCell ref="F14:G14"/>
    <mergeCell ref="F15:G15"/>
    <mergeCell ref="B22:C22"/>
    <mergeCell ref="B24:C24"/>
    <mergeCell ref="B20:C20"/>
    <mergeCell ref="B25:C25"/>
    <mergeCell ref="B26:C26"/>
    <mergeCell ref="B35:C35"/>
    <mergeCell ref="B27:C27"/>
    <mergeCell ref="B28:C28"/>
    <mergeCell ref="B21:C21"/>
    <mergeCell ref="B29:C29"/>
    <mergeCell ref="B30:C30"/>
    <mergeCell ref="B31:C31"/>
    <mergeCell ref="B32:C32"/>
    <mergeCell ref="B33:C33"/>
    <mergeCell ref="B34:C34"/>
    <mergeCell ref="B23:C23"/>
    <mergeCell ref="B39:C39"/>
    <mergeCell ref="B62:E62"/>
    <mergeCell ref="B36:C36"/>
    <mergeCell ref="F34:G34"/>
    <mergeCell ref="B44:C44"/>
    <mergeCell ref="B40:C40"/>
    <mergeCell ref="B41:C41"/>
    <mergeCell ref="B42:C42"/>
    <mergeCell ref="F62:G62"/>
    <mergeCell ref="B37:C37"/>
    <mergeCell ref="B38:C38"/>
    <mergeCell ref="F38:G38"/>
    <mergeCell ref="F58:G58"/>
    <mergeCell ref="F54:G54"/>
    <mergeCell ref="B50:C50"/>
    <mergeCell ref="B51:C51"/>
    <mergeCell ref="B52:C52"/>
    <mergeCell ref="F35:G35"/>
    <mergeCell ref="B59:C59"/>
    <mergeCell ref="F59:G59"/>
    <mergeCell ref="F36:G36"/>
    <mergeCell ref="F57:G57"/>
    <mergeCell ref="H7:I7"/>
    <mergeCell ref="A8:I8"/>
    <mergeCell ref="A9:I9"/>
    <mergeCell ref="B10:E10"/>
    <mergeCell ref="F10:G10"/>
    <mergeCell ref="H10:I10"/>
    <mergeCell ref="A7:G7"/>
    <mergeCell ref="B141:C141"/>
    <mergeCell ref="F141:G141"/>
    <mergeCell ref="F140:G140"/>
    <mergeCell ref="H66:I66"/>
    <mergeCell ref="F76:G76"/>
    <mergeCell ref="B54:C54"/>
    <mergeCell ref="H84:I84"/>
    <mergeCell ref="H80:I80"/>
    <mergeCell ref="H81:I81"/>
    <mergeCell ref="B96:C96"/>
    <mergeCell ref="B135:E135"/>
    <mergeCell ref="F135:G135"/>
    <mergeCell ref="H135:I135"/>
    <mergeCell ref="B137:E137"/>
    <mergeCell ref="F137:G137"/>
    <mergeCell ref="B140:C140"/>
    <mergeCell ref="B139:E139"/>
    <mergeCell ref="A143:I143"/>
    <mergeCell ref="F28:G28"/>
    <mergeCell ref="F29:G29"/>
    <mergeCell ref="F30:G30"/>
    <mergeCell ref="F16:G16"/>
    <mergeCell ref="F17:G17"/>
    <mergeCell ref="B104:C104"/>
    <mergeCell ref="F79:G79"/>
    <mergeCell ref="B97:C97"/>
    <mergeCell ref="B85:C85"/>
    <mergeCell ref="B86:C86"/>
    <mergeCell ref="B91:C91"/>
    <mergeCell ref="B92:C92"/>
    <mergeCell ref="B93:C93"/>
    <mergeCell ref="B123:C123"/>
    <mergeCell ref="B124:C124"/>
    <mergeCell ref="A83:I83"/>
    <mergeCell ref="F80:G80"/>
    <mergeCell ref="F81:G81"/>
    <mergeCell ref="B80:C80"/>
    <mergeCell ref="B94:C94"/>
    <mergeCell ref="B95:C95"/>
    <mergeCell ref="B115:C115"/>
    <mergeCell ref="F84:G84"/>
    <mergeCell ref="F21:G21"/>
    <mergeCell ref="F18:G18"/>
    <mergeCell ref="F19:G19"/>
    <mergeCell ref="F24:G24"/>
    <mergeCell ref="F25:G25"/>
    <mergeCell ref="F22:G22"/>
    <mergeCell ref="F32:G32"/>
    <mergeCell ref="F23:G23"/>
    <mergeCell ref="F26:G26"/>
    <mergeCell ref="F27:G27"/>
    <mergeCell ref="F31:G31"/>
    <mergeCell ref="F20:G20"/>
    <mergeCell ref="H19:I19"/>
    <mergeCell ref="H20:I20"/>
    <mergeCell ref="H21:I21"/>
    <mergeCell ref="H22:I22"/>
    <mergeCell ref="H15:I15"/>
    <mergeCell ref="H16:I16"/>
    <mergeCell ref="H17:I17"/>
    <mergeCell ref="H18:I18"/>
    <mergeCell ref="H11:I11"/>
    <mergeCell ref="H12:I12"/>
    <mergeCell ref="H13:I13"/>
    <mergeCell ref="H14:I14"/>
    <mergeCell ref="H31:I31"/>
    <mergeCell ref="H32:I32"/>
    <mergeCell ref="H33:I33"/>
    <mergeCell ref="H34:I34"/>
    <mergeCell ref="H27:I27"/>
    <mergeCell ref="H28:I28"/>
    <mergeCell ref="H29:I29"/>
    <mergeCell ref="H30:I30"/>
    <mergeCell ref="H23:I23"/>
    <mergeCell ref="H24:I24"/>
    <mergeCell ref="H25:I25"/>
    <mergeCell ref="H26:I26"/>
    <mergeCell ref="H59:I59"/>
    <mergeCell ref="H54:I54"/>
    <mergeCell ref="B55:C55"/>
    <mergeCell ref="B56:C56"/>
    <mergeCell ref="F55:G55"/>
    <mergeCell ref="H39:I39"/>
    <mergeCell ref="F39:G39"/>
    <mergeCell ref="F37:G37"/>
    <mergeCell ref="H40:I40"/>
    <mergeCell ref="F47:G47"/>
    <mergeCell ref="F50:G50"/>
    <mergeCell ref="F51:G51"/>
    <mergeCell ref="F52:G52"/>
    <mergeCell ref="H51:I51"/>
    <mergeCell ref="F40:G40"/>
    <mergeCell ref="F41:G41"/>
    <mergeCell ref="F42:G42"/>
    <mergeCell ref="F43:G43"/>
    <mergeCell ref="H46:I46"/>
    <mergeCell ref="H47:I47"/>
    <mergeCell ref="F44:G44"/>
    <mergeCell ref="H44:I44"/>
    <mergeCell ref="H41:I41"/>
    <mergeCell ref="H42:I42"/>
    <mergeCell ref="H56:I56"/>
    <mergeCell ref="H57:I57"/>
    <mergeCell ref="H58:I58"/>
    <mergeCell ref="H43:I43"/>
    <mergeCell ref="B47:C47"/>
    <mergeCell ref="B43:C43"/>
    <mergeCell ref="B48:C48"/>
    <mergeCell ref="B49:C49"/>
    <mergeCell ref="B46:E46"/>
    <mergeCell ref="F48:G48"/>
    <mergeCell ref="F49:G49"/>
    <mergeCell ref="H48:I48"/>
    <mergeCell ref="H49:I49"/>
    <mergeCell ref="H55:I55"/>
    <mergeCell ref="H50:I50"/>
    <mergeCell ref="B57:C57"/>
    <mergeCell ref="B58:C58"/>
    <mergeCell ref="H52:I52"/>
    <mergeCell ref="H53:I53"/>
    <mergeCell ref="F56:G56"/>
    <mergeCell ref="F46:G46"/>
    <mergeCell ref="B53:C53"/>
    <mergeCell ref="B67:I67"/>
    <mergeCell ref="B69:E69"/>
    <mergeCell ref="H61:I61"/>
    <mergeCell ref="F61:G61"/>
    <mergeCell ref="B61:C61"/>
    <mergeCell ref="B60:C60"/>
    <mergeCell ref="H62:I62"/>
    <mergeCell ref="H64:I64"/>
    <mergeCell ref="F66:G66"/>
    <mergeCell ref="B66:E66"/>
    <mergeCell ref="F60:G60"/>
    <mergeCell ref="H60:I60"/>
    <mergeCell ref="B64:E64"/>
    <mergeCell ref="F64:G64"/>
    <mergeCell ref="H76:I76"/>
    <mergeCell ref="B79:C79"/>
    <mergeCell ref="B75:C75"/>
    <mergeCell ref="B74:C74"/>
    <mergeCell ref="F73:G73"/>
    <mergeCell ref="F74:G74"/>
    <mergeCell ref="H79:I79"/>
    <mergeCell ref="H74:I74"/>
    <mergeCell ref="F69:G69"/>
    <mergeCell ref="F72:G72"/>
    <mergeCell ref="H72:I72"/>
    <mergeCell ref="B73:C73"/>
    <mergeCell ref="H73:I73"/>
    <mergeCell ref="H69:I69"/>
    <mergeCell ref="B72:E72"/>
    <mergeCell ref="H78:I78"/>
    <mergeCell ref="B76:C76"/>
    <mergeCell ref="B78:E78"/>
    <mergeCell ref="F78:G78"/>
    <mergeCell ref="B70:C70"/>
    <mergeCell ref="F70:G70"/>
    <mergeCell ref="H70:I70"/>
    <mergeCell ref="B114:C114"/>
    <mergeCell ref="B101:C101"/>
    <mergeCell ref="B110:C110"/>
    <mergeCell ref="B112:C112"/>
    <mergeCell ref="B105:C105"/>
    <mergeCell ref="B106:C106"/>
    <mergeCell ref="B107:C107"/>
    <mergeCell ref="B108:C108"/>
    <mergeCell ref="H75:I75"/>
    <mergeCell ref="F75:G75"/>
    <mergeCell ref="B87:C87"/>
    <mergeCell ref="B88:C88"/>
    <mergeCell ref="B89:C89"/>
    <mergeCell ref="B90:C90"/>
    <mergeCell ref="F85:G85"/>
    <mergeCell ref="F86:G86"/>
    <mergeCell ref="F87:G87"/>
    <mergeCell ref="F88:G88"/>
    <mergeCell ref="B81:C81"/>
    <mergeCell ref="B84:E84"/>
    <mergeCell ref="B100:C100"/>
    <mergeCell ref="F108:G108"/>
    <mergeCell ref="B102:C102"/>
    <mergeCell ref="F104:G104"/>
    <mergeCell ref="B98:C98"/>
    <mergeCell ref="B109:C109"/>
    <mergeCell ref="B113:C113"/>
    <mergeCell ref="B103:C103"/>
    <mergeCell ref="F99:G99"/>
    <mergeCell ref="F102:G102"/>
    <mergeCell ref="F103:G103"/>
    <mergeCell ref="B99:C99"/>
    <mergeCell ref="B111:C111"/>
    <mergeCell ref="F100:G100"/>
    <mergeCell ref="F89:G89"/>
    <mergeCell ref="F90:G90"/>
    <mergeCell ref="F94:G94"/>
    <mergeCell ref="F95:G95"/>
    <mergeCell ref="F91:G91"/>
    <mergeCell ref="F92:G92"/>
    <mergeCell ref="F93:G93"/>
    <mergeCell ref="F101:G101"/>
    <mergeCell ref="F105:G105"/>
    <mergeCell ref="F114:G114"/>
    <mergeCell ref="F115:G115"/>
    <mergeCell ref="F116:G116"/>
    <mergeCell ref="F109:G109"/>
    <mergeCell ref="F110:G110"/>
    <mergeCell ref="F111:G111"/>
    <mergeCell ref="F112:G112"/>
    <mergeCell ref="F113:G113"/>
    <mergeCell ref="F96:G96"/>
    <mergeCell ref="F97:G97"/>
    <mergeCell ref="F98:G98"/>
    <mergeCell ref="F106:G106"/>
    <mergeCell ref="F107:G107"/>
    <mergeCell ref="H93:I93"/>
    <mergeCell ref="H94:I94"/>
    <mergeCell ref="H95:I95"/>
    <mergeCell ref="H96:I96"/>
    <mergeCell ref="H89:I89"/>
    <mergeCell ref="H90:I90"/>
    <mergeCell ref="H91:I91"/>
    <mergeCell ref="H92:I92"/>
    <mergeCell ref="H85:I85"/>
    <mergeCell ref="H86:I86"/>
    <mergeCell ref="H87:I87"/>
    <mergeCell ref="H88:I88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97:I97"/>
    <mergeCell ref="H98:I98"/>
    <mergeCell ref="H99:I99"/>
    <mergeCell ref="H100:I100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20:I120"/>
    <mergeCell ref="B116:C116"/>
    <mergeCell ref="B119:D119"/>
    <mergeCell ref="B129:C129"/>
    <mergeCell ref="B125:C125"/>
    <mergeCell ref="B126:C126"/>
    <mergeCell ref="B127:C127"/>
    <mergeCell ref="B128:C128"/>
    <mergeCell ref="B120:C120"/>
    <mergeCell ref="B121:C121"/>
    <mergeCell ref="B122:C122"/>
    <mergeCell ref="F119:G119"/>
    <mergeCell ref="H119:I119"/>
    <mergeCell ref="B130:C130"/>
    <mergeCell ref="B131:C131"/>
    <mergeCell ref="F127:G127"/>
    <mergeCell ref="F128:G128"/>
    <mergeCell ref="F129:G129"/>
    <mergeCell ref="F130:G130"/>
    <mergeCell ref="H130:I130"/>
    <mergeCell ref="H131:I131"/>
    <mergeCell ref="H121:I121"/>
    <mergeCell ref="H122:I122"/>
    <mergeCell ref="H123:I123"/>
    <mergeCell ref="B132:C132"/>
    <mergeCell ref="B133:C133"/>
    <mergeCell ref="B134:C134"/>
    <mergeCell ref="F120:G120"/>
    <mergeCell ref="F121:G121"/>
    <mergeCell ref="F122:G122"/>
    <mergeCell ref="F123:G123"/>
    <mergeCell ref="F124:G124"/>
    <mergeCell ref="F133:G133"/>
    <mergeCell ref="F134:G134"/>
    <mergeCell ref="H141:I141"/>
    <mergeCell ref="H132:I132"/>
    <mergeCell ref="H133:I133"/>
    <mergeCell ref="H134:I134"/>
    <mergeCell ref="H137:I137"/>
    <mergeCell ref="H128:I128"/>
    <mergeCell ref="F132:G132"/>
    <mergeCell ref="H124:I124"/>
    <mergeCell ref="H125:I125"/>
    <mergeCell ref="H126:I126"/>
    <mergeCell ref="H127:I127"/>
    <mergeCell ref="H129:I129"/>
    <mergeCell ref="F131:G131"/>
    <mergeCell ref="F125:G125"/>
    <mergeCell ref="F126:G126"/>
    <mergeCell ref="F139:G139"/>
    <mergeCell ref="H139:I139"/>
    <mergeCell ref="H140:I140"/>
  </mergeCells>
  <phoneticPr fontId="25" type="noConversion"/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7"/>
  <dimension ref="A1:G26"/>
  <sheetViews>
    <sheetView topLeftCell="A7" zoomScale="90" zoomScaleNormal="90" workbookViewId="0">
      <selection activeCell="B11" sqref="B11:B12"/>
    </sheetView>
  </sheetViews>
  <sheetFormatPr defaultRowHeight="12.75"/>
  <cols>
    <col min="1" max="1" width="22.42578125" customWidth="1"/>
    <col min="2" max="2" width="15.7109375" customWidth="1"/>
    <col min="3" max="3" width="14" customWidth="1"/>
    <col min="4" max="6" width="12.85546875" customWidth="1"/>
    <col min="7" max="7" width="16.140625" customWidth="1"/>
  </cols>
  <sheetData>
    <row r="1" spans="1:7">
      <c r="A1" s="748" t="str">
        <f>Parâmetros!A7</f>
        <v>Município de : PORTÃO/RS</v>
      </c>
      <c r="B1" s="749"/>
      <c r="C1" s="749"/>
      <c r="D1" s="749"/>
      <c r="E1" s="749"/>
      <c r="F1" s="750"/>
      <c r="G1" s="166"/>
    </row>
    <row r="2" spans="1:7">
      <c r="A2" s="751" t="s">
        <v>36</v>
      </c>
      <c r="B2" s="749"/>
      <c r="C2" s="749"/>
      <c r="D2" s="749"/>
      <c r="E2" s="749"/>
      <c r="F2" s="750"/>
      <c r="G2" s="166"/>
    </row>
    <row r="3" spans="1:7">
      <c r="A3" s="751" t="str">
        <f>'Metas Cons'!A3:M3</f>
        <v>ANEXO DE METAS FISCAIS</v>
      </c>
      <c r="B3" s="749"/>
      <c r="C3" s="749"/>
      <c r="D3" s="749"/>
      <c r="E3" s="749"/>
      <c r="F3" s="750"/>
      <c r="G3" s="166"/>
    </row>
    <row r="4" spans="1:7">
      <c r="A4" s="579" t="s">
        <v>491</v>
      </c>
      <c r="B4" s="577"/>
      <c r="C4" s="577"/>
      <c r="D4" s="577"/>
      <c r="E4" s="577"/>
      <c r="F4" s="578"/>
      <c r="G4" s="166"/>
    </row>
    <row r="5" spans="1:7">
      <c r="A5" s="751" t="s">
        <v>598</v>
      </c>
      <c r="B5" s="749"/>
      <c r="C5" s="749"/>
      <c r="D5" s="749"/>
      <c r="E5" s="749"/>
      <c r="F5" s="750"/>
      <c r="G5" s="166"/>
    </row>
    <row r="6" spans="1:7">
      <c r="A6" s="751"/>
      <c r="B6" s="749"/>
      <c r="C6" s="749"/>
      <c r="D6" s="749"/>
      <c r="E6" s="749"/>
      <c r="F6" s="750"/>
      <c r="G6" s="166"/>
    </row>
    <row r="7" spans="1:7" s="34" customFormat="1" ht="11.25" customHeight="1">
      <c r="A7" s="507" t="s">
        <v>494</v>
      </c>
      <c r="B7" s="508"/>
      <c r="C7" s="508"/>
      <c r="D7" s="508"/>
      <c r="E7" s="508"/>
      <c r="F7" s="509"/>
      <c r="G7" s="510">
        <v>1</v>
      </c>
    </row>
    <row r="8" spans="1:7" s="35" customFormat="1" ht="11.25" customHeight="1">
      <c r="A8" s="626" t="s">
        <v>156</v>
      </c>
      <c r="B8" s="754" t="s">
        <v>157</v>
      </c>
      <c r="C8" s="743" t="s">
        <v>158</v>
      </c>
      <c r="D8" s="754" t="s">
        <v>103</v>
      </c>
      <c r="E8" s="757"/>
      <c r="F8" s="626"/>
      <c r="G8" s="743" t="s">
        <v>104</v>
      </c>
    </row>
    <row r="9" spans="1:7" s="35" customFormat="1" ht="11.25" customHeight="1">
      <c r="A9" s="627"/>
      <c r="B9" s="755"/>
      <c r="C9" s="744"/>
      <c r="D9" s="756"/>
      <c r="E9" s="758"/>
      <c r="F9" s="628"/>
      <c r="G9" s="744"/>
    </row>
    <row r="10" spans="1:7" s="34" customFormat="1" ht="24" customHeight="1">
      <c r="A10" s="628"/>
      <c r="B10" s="756"/>
      <c r="C10" s="745"/>
      <c r="D10" s="511">
        <f>Parâmetros!E10</f>
        <v>2019</v>
      </c>
      <c r="E10" s="511">
        <f>D10+1</f>
        <v>2020</v>
      </c>
      <c r="F10" s="511">
        <f>E10+1</f>
        <v>2021</v>
      </c>
      <c r="G10" s="745"/>
    </row>
    <row r="11" spans="1:7" s="34" customFormat="1" ht="26.25" customHeight="1">
      <c r="A11" s="512" t="s">
        <v>797</v>
      </c>
      <c r="B11" s="513" t="s">
        <v>798</v>
      </c>
      <c r="C11" s="512" t="s">
        <v>800</v>
      </c>
      <c r="D11" s="514">
        <v>0</v>
      </c>
      <c r="E11" s="515">
        <f>D11*(1+B24)</f>
        <v>0</v>
      </c>
      <c r="F11" s="515">
        <f>E11*(1+B25)</f>
        <v>0</v>
      </c>
      <c r="G11" s="746" t="s">
        <v>160</v>
      </c>
    </row>
    <row r="12" spans="1:7" s="34" customFormat="1" ht="42" customHeight="1">
      <c r="A12" s="512"/>
      <c r="B12" s="512" t="s">
        <v>799</v>
      </c>
      <c r="C12" s="512" t="s">
        <v>801</v>
      </c>
      <c r="D12" s="514">
        <v>45000</v>
      </c>
      <c r="E12" s="515">
        <v>80000</v>
      </c>
      <c r="F12" s="515">
        <f>E12*(1+B25)</f>
        <v>83152.000000000015</v>
      </c>
      <c r="G12" s="747"/>
    </row>
    <row r="13" spans="1:7" s="34" customFormat="1" ht="45.75" customHeight="1">
      <c r="A13" s="512"/>
      <c r="B13" s="512"/>
      <c r="C13" s="512"/>
      <c r="D13" s="514">
        <v>0</v>
      </c>
      <c r="E13" s="515">
        <f>D13*(1+B24)</f>
        <v>0</v>
      </c>
      <c r="F13" s="515">
        <f>E13*(1+B25)</f>
        <v>0</v>
      </c>
      <c r="G13" s="516" t="s">
        <v>161</v>
      </c>
    </row>
    <row r="14" spans="1:7" s="34" customFormat="1" ht="11.25" customHeight="1">
      <c r="A14" s="512"/>
      <c r="B14" s="512"/>
      <c r="C14" s="512"/>
      <c r="D14" s="514"/>
      <c r="E14" s="515">
        <f>D14*(1+B24)</f>
        <v>0</v>
      </c>
      <c r="F14" s="515">
        <f>E14*(1+B25)</f>
        <v>0</v>
      </c>
      <c r="G14" s="516"/>
    </row>
    <row r="15" spans="1:7" s="34" customFormat="1" ht="11.25" customHeight="1">
      <c r="A15" s="512"/>
      <c r="B15" s="512"/>
      <c r="C15" s="512"/>
      <c r="D15" s="514"/>
      <c r="E15" s="515">
        <f>D15*(1+B24)</f>
        <v>0</v>
      </c>
      <c r="F15" s="515">
        <f>E15*(1+B25)</f>
        <v>0</v>
      </c>
      <c r="G15" s="516"/>
    </row>
    <row r="16" spans="1:7" s="34" customFormat="1" ht="11.25" customHeight="1">
      <c r="A16" s="512"/>
      <c r="B16" s="512"/>
      <c r="C16" s="512"/>
      <c r="D16" s="514"/>
      <c r="E16" s="515">
        <f>D16*(1+B24)</f>
        <v>0</v>
      </c>
      <c r="F16" s="515">
        <f>E16*(1+B25)</f>
        <v>0</v>
      </c>
      <c r="G16" s="516"/>
    </row>
    <row r="17" spans="1:7" s="34" customFormat="1" ht="11.25" customHeight="1">
      <c r="A17" s="356"/>
      <c r="B17" s="356"/>
      <c r="C17" s="356"/>
      <c r="D17" s="517"/>
      <c r="E17" s="515">
        <f>D17*(1+B24)</f>
        <v>0</v>
      </c>
      <c r="F17" s="515">
        <f>E17*(1+B25)</f>
        <v>0</v>
      </c>
      <c r="G17" s="354"/>
    </row>
    <row r="18" spans="1:7" s="34" customFormat="1" ht="11.25" customHeight="1">
      <c r="A18" s="752" t="s">
        <v>89</v>
      </c>
      <c r="B18" s="752"/>
      <c r="C18" s="753"/>
      <c r="D18" s="518">
        <f>SUM(D11:D17)</f>
        <v>45000</v>
      </c>
      <c r="E18" s="518">
        <f>SUM(E11:E17)</f>
        <v>80000</v>
      </c>
      <c r="F18" s="518">
        <f>SUM(F11:F17)</f>
        <v>83152.000000000015</v>
      </c>
      <c r="G18" s="519" t="s">
        <v>159</v>
      </c>
    </row>
    <row r="19" spans="1:7" s="34" customFormat="1" ht="11.25" customHeight="1">
      <c r="A19" s="462" t="s">
        <v>792</v>
      </c>
      <c r="B19" s="520"/>
      <c r="C19" s="520"/>
      <c r="D19" s="520"/>
      <c r="E19" s="520"/>
      <c r="F19" s="520"/>
      <c r="G19" s="520"/>
    </row>
    <row r="20" spans="1:7">
      <c r="A20" s="166" t="s">
        <v>614</v>
      </c>
      <c r="B20" s="463"/>
      <c r="C20" s="463"/>
      <c r="D20" s="463"/>
      <c r="E20" s="463"/>
      <c r="F20" s="463"/>
      <c r="G20" s="166"/>
    </row>
    <row r="21" spans="1:7">
      <c r="A21" s="166" t="s">
        <v>141</v>
      </c>
      <c r="B21" s="166"/>
      <c r="C21" s="166"/>
      <c r="D21" s="166"/>
      <c r="E21" s="166"/>
      <c r="F21" s="166"/>
      <c r="G21" s="166"/>
    </row>
    <row r="22" spans="1:7">
      <c r="A22" s="166" t="s">
        <v>802</v>
      </c>
      <c r="B22" s="166"/>
      <c r="C22" s="166"/>
      <c r="D22" s="166"/>
      <c r="E22" s="166"/>
      <c r="F22" s="166"/>
      <c r="G22" s="166"/>
    </row>
    <row r="23" spans="1:7">
      <c r="A23" s="166" t="s">
        <v>144</v>
      </c>
      <c r="B23" s="166"/>
      <c r="C23" s="166"/>
      <c r="D23" s="166"/>
      <c r="E23" s="166"/>
      <c r="F23" s="166"/>
      <c r="G23" s="166"/>
    </row>
    <row r="24" spans="1:7">
      <c r="A24" s="166" t="s">
        <v>410</v>
      </c>
      <c r="B24" s="521">
        <f>Parâmetros!F11</f>
        <v>4.02E-2</v>
      </c>
      <c r="C24" s="166"/>
      <c r="D24" s="166"/>
      <c r="E24" s="166"/>
      <c r="F24" s="166"/>
      <c r="G24" s="166"/>
    </row>
    <row r="25" spans="1:7">
      <c r="A25" s="166" t="s">
        <v>615</v>
      </c>
      <c r="B25" s="521">
        <f>Parâmetros!G11</f>
        <v>3.9399999999999998E-2</v>
      </c>
      <c r="C25" s="166"/>
      <c r="D25" s="166"/>
      <c r="E25" s="166"/>
      <c r="F25" s="166"/>
      <c r="G25" s="166"/>
    </row>
    <row r="26" spans="1:7">
      <c r="B26" s="33"/>
    </row>
  </sheetData>
  <mergeCells count="13">
    <mergeCell ref="A18:C18"/>
    <mergeCell ref="A5:F5"/>
    <mergeCell ref="A6:F6"/>
    <mergeCell ref="A8:A10"/>
    <mergeCell ref="B8:B10"/>
    <mergeCell ref="C8:C10"/>
    <mergeCell ref="D8:F9"/>
    <mergeCell ref="G8:G10"/>
    <mergeCell ref="G11:G12"/>
    <mergeCell ref="A1:F1"/>
    <mergeCell ref="A2:F2"/>
    <mergeCell ref="A3:F3"/>
    <mergeCell ref="A4:F4"/>
  </mergeCells>
  <phoneticPr fontId="25" type="noConversion"/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8"/>
  <dimension ref="A1:B31"/>
  <sheetViews>
    <sheetView topLeftCell="A16" zoomScale="90" workbookViewId="0">
      <selection activeCell="D49" sqref="D49"/>
    </sheetView>
  </sheetViews>
  <sheetFormatPr defaultRowHeight="12.75"/>
  <cols>
    <col min="1" max="1" width="55.5703125" style="11" customWidth="1"/>
    <col min="2" max="2" width="47.5703125" style="11" customWidth="1"/>
    <col min="3" max="16384" width="9.140625" style="11"/>
  </cols>
  <sheetData>
    <row r="1" spans="1:2" ht="15">
      <c r="A1" s="759" t="str">
        <f>Parâmetros!A7</f>
        <v>Município de : PORTÃO/RS</v>
      </c>
      <c r="B1" s="760"/>
    </row>
    <row r="2" spans="1:2" ht="15">
      <c r="A2" s="761" t="s">
        <v>36</v>
      </c>
      <c r="B2" s="760"/>
    </row>
    <row r="3" spans="1:2" ht="15">
      <c r="A3" s="761" t="str">
        <f>'Metas Cons'!A3:M3</f>
        <v>ANEXO DE METAS FISCAIS</v>
      </c>
      <c r="B3" s="760"/>
    </row>
    <row r="4" spans="1:2" ht="14.25">
      <c r="A4" s="764" t="s">
        <v>492</v>
      </c>
      <c r="B4" s="765"/>
    </row>
    <row r="5" spans="1:2" ht="15">
      <c r="A5" s="761" t="s">
        <v>598</v>
      </c>
      <c r="B5" s="760"/>
    </row>
    <row r="6" spans="1:2" ht="15">
      <c r="A6" s="761"/>
      <c r="B6" s="760"/>
    </row>
    <row r="7" spans="1:2" ht="15">
      <c r="A7" s="493" t="s">
        <v>493</v>
      </c>
      <c r="B7" s="494">
        <v>1</v>
      </c>
    </row>
    <row r="8" spans="1:2" s="12" customFormat="1" ht="25.5" customHeight="1">
      <c r="A8" s="495" t="s">
        <v>105</v>
      </c>
      <c r="B8" s="496" t="s">
        <v>603</v>
      </c>
    </row>
    <row r="9" spans="1:2" ht="14.25">
      <c r="A9" s="497" t="s">
        <v>106</v>
      </c>
      <c r="B9" s="498">
        <f>(B10+B11)</f>
        <v>-5246668.8992257752</v>
      </c>
    </row>
    <row r="10" spans="1:2" ht="15">
      <c r="A10" s="499" t="s">
        <v>137</v>
      </c>
      <c r="B10" s="500">
        <f>(Projeções!G9/(1+Parâmetros!E11))-(Projeções!F9*(1+Parâmetros!D11))</f>
        <v>-1937253.6437930427</v>
      </c>
    </row>
    <row r="11" spans="1:2" ht="15">
      <c r="A11" s="499" t="s">
        <v>138</v>
      </c>
      <c r="B11" s="500">
        <f>(Projeções!G39/(1+Parâmetros!E11))-(Projeções!F39*(1+Parâmetros!D11))</f>
        <v>-3309415.2554327324</v>
      </c>
    </row>
    <row r="12" spans="1:2" ht="15">
      <c r="A12" s="499" t="s">
        <v>184</v>
      </c>
      <c r="B12" s="500">
        <v>0</v>
      </c>
    </row>
    <row r="13" spans="1:2" ht="15">
      <c r="A13" s="501" t="s">
        <v>146</v>
      </c>
      <c r="B13" s="500">
        <f>(Projeções!G101/(1+Parâmetros!E11)-(Projeções!F101*(1+Parâmetros!D11)))</f>
        <v>332376.10314349737</v>
      </c>
    </row>
    <row r="14" spans="1:2" ht="14.25">
      <c r="A14" s="502" t="s">
        <v>107</v>
      </c>
      <c r="B14" s="503">
        <f>B9+B13</f>
        <v>-4914292.7960822778</v>
      </c>
    </row>
    <row r="15" spans="1:2" ht="15">
      <c r="A15" s="501" t="s">
        <v>108</v>
      </c>
      <c r="B15" s="504">
        <v>0</v>
      </c>
    </row>
    <row r="16" spans="1:2" ht="15">
      <c r="A16" s="501" t="s">
        <v>109</v>
      </c>
      <c r="B16" s="503">
        <f>B14+B15</f>
        <v>-4914292.7960822778</v>
      </c>
    </row>
    <row r="17" spans="1:2" ht="15">
      <c r="A17" s="499" t="s">
        <v>110</v>
      </c>
      <c r="B17" s="500"/>
    </row>
    <row r="18" spans="1:2" ht="14.25">
      <c r="A18" s="502" t="s">
        <v>181</v>
      </c>
      <c r="B18" s="503">
        <f>B19+B20</f>
        <v>559785.13389314339</v>
      </c>
    </row>
    <row r="19" spans="1:2" ht="15">
      <c r="A19" s="501" t="s">
        <v>139</v>
      </c>
      <c r="B19" s="500">
        <f>Projeções!G114/(1+Parâmetros!E11)-(Projeções!F114*(1+Parâmetros!D11))</f>
        <v>3326257.3161049411</v>
      </c>
    </row>
    <row r="20" spans="1:2" ht="15">
      <c r="A20" s="501" t="s">
        <v>140</v>
      </c>
      <c r="B20" s="500">
        <f>Projeções!G122/(1+Parâmetros!E11)-Projeções!F122*(1+Parâmetros!D11)</f>
        <v>-2766472.1822117977</v>
      </c>
    </row>
    <row r="21" spans="1:2" ht="15">
      <c r="A21" s="502" t="s">
        <v>182</v>
      </c>
      <c r="B21" s="505">
        <v>0</v>
      </c>
    </row>
    <row r="22" spans="1:2" ht="21" customHeight="1">
      <c r="A22" s="502" t="s">
        <v>183</v>
      </c>
      <c r="B22" s="506" t="str">
        <f>IF(B16-B17-B18&lt;0,"SEM MARGEM",B16-B17-B18)</f>
        <v>SEM MARGEM</v>
      </c>
    </row>
    <row r="23" spans="1:2" ht="15">
      <c r="A23" s="762" t="s">
        <v>792</v>
      </c>
      <c r="B23" s="763"/>
    </row>
    <row r="24" spans="1:2">
      <c r="A24" s="7"/>
    </row>
    <row r="25" spans="1:2">
      <c r="A25" s="42"/>
      <c r="B25" s="42"/>
    </row>
    <row r="26" spans="1:2">
      <c r="A26" s="42"/>
    </row>
    <row r="27" spans="1:2">
      <c r="A27" s="42"/>
    </row>
    <row r="28" spans="1:2">
      <c r="A28" s="42"/>
    </row>
    <row r="29" spans="1:2">
      <c r="A29" s="42"/>
    </row>
    <row r="30" spans="1:2">
      <c r="A30" s="42"/>
    </row>
    <row r="31" spans="1:2">
      <c r="A31" s="42"/>
    </row>
  </sheetData>
  <mergeCells count="7">
    <mergeCell ref="A1:B1"/>
    <mergeCell ref="A2:B2"/>
    <mergeCell ref="A23:B23"/>
    <mergeCell ref="A3:B3"/>
    <mergeCell ref="A4:B4"/>
    <mergeCell ref="A5:B5"/>
    <mergeCell ref="A6:B6"/>
  </mergeCells>
  <phoneticPr fontId="25" type="noConversion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29"/>
  <sheetViews>
    <sheetView zoomScale="90" workbookViewId="0">
      <selection activeCell="F25" sqref="F25"/>
    </sheetView>
  </sheetViews>
  <sheetFormatPr defaultRowHeight="11.25"/>
  <cols>
    <col min="1" max="1" width="49.140625" style="43" customWidth="1"/>
    <col min="2" max="2" width="44.7109375" style="43" customWidth="1"/>
    <col min="3" max="16384" width="9.140625" style="43"/>
  </cols>
  <sheetData>
    <row r="1" spans="1:2" ht="15">
      <c r="A1" s="770" t="str">
        <f>Parâmetros!A7</f>
        <v>Município de : PORTÃO/RS</v>
      </c>
      <c r="B1" s="767"/>
    </row>
    <row r="2" spans="1:2" ht="15">
      <c r="A2" s="766" t="s">
        <v>36</v>
      </c>
      <c r="B2" s="767"/>
    </row>
    <row r="3" spans="1:2" ht="15">
      <c r="A3" s="766" t="str">
        <f>'Metas Cons'!A3:M3</f>
        <v>ANEXO DE METAS FISCAIS</v>
      </c>
      <c r="B3" s="767"/>
    </row>
    <row r="4" spans="1:2" ht="14.25">
      <c r="A4" s="584" t="s">
        <v>492</v>
      </c>
      <c r="B4" s="583"/>
    </row>
    <row r="5" spans="1:2" ht="15">
      <c r="A5" s="766" t="s">
        <v>598</v>
      </c>
      <c r="B5" s="767"/>
    </row>
    <row r="6" spans="1:2" ht="15">
      <c r="A6" s="766"/>
      <c r="B6" s="767"/>
    </row>
    <row r="7" spans="1:2" ht="15">
      <c r="A7" s="478" t="s">
        <v>493</v>
      </c>
      <c r="B7" s="479">
        <v>1</v>
      </c>
    </row>
    <row r="8" spans="1:2" s="44" customFormat="1" ht="25.5" customHeight="1">
      <c r="A8" s="480" t="s">
        <v>105</v>
      </c>
      <c r="B8" s="481" t="s">
        <v>603</v>
      </c>
    </row>
    <row r="9" spans="1:2" ht="14.25">
      <c r="A9" s="482" t="s">
        <v>106</v>
      </c>
      <c r="B9" s="483"/>
    </row>
    <row r="10" spans="1:2" ht="15">
      <c r="A10" s="484" t="s">
        <v>137</v>
      </c>
      <c r="B10" s="485"/>
    </row>
    <row r="11" spans="1:2" ht="15">
      <c r="A11" s="484" t="s">
        <v>138</v>
      </c>
      <c r="B11" s="485"/>
    </row>
    <row r="12" spans="1:2" ht="15">
      <c r="A12" s="486" t="s">
        <v>146</v>
      </c>
      <c r="B12" s="485"/>
    </row>
    <row r="13" spans="1:2" ht="28.5">
      <c r="A13" s="487" t="s">
        <v>107</v>
      </c>
      <c r="B13" s="488"/>
    </row>
    <row r="14" spans="1:2" ht="15">
      <c r="A14" s="486" t="s">
        <v>108</v>
      </c>
      <c r="B14" s="489"/>
    </row>
    <row r="15" spans="1:2" ht="15">
      <c r="A15" s="486" t="s">
        <v>109</v>
      </c>
      <c r="B15" s="488"/>
    </row>
    <row r="16" spans="1:2" ht="15">
      <c r="A16" s="484" t="s">
        <v>110</v>
      </c>
      <c r="B16" s="485"/>
    </row>
    <row r="17" spans="1:2" ht="14.25">
      <c r="A17" s="487" t="s">
        <v>111</v>
      </c>
      <c r="B17" s="488"/>
    </row>
    <row r="18" spans="1:2" ht="15">
      <c r="A18" s="486" t="s">
        <v>139</v>
      </c>
      <c r="B18" s="485"/>
    </row>
    <row r="19" spans="1:2" ht="15">
      <c r="A19" s="486" t="s">
        <v>140</v>
      </c>
      <c r="B19" s="485"/>
    </row>
    <row r="20" spans="1:2" ht="14.25">
      <c r="A20" s="487" t="s">
        <v>112</v>
      </c>
      <c r="B20" s="490">
        <f>IF(B15-B16-B17&lt;0,"SEM MARGEM",B15-B16-B17)</f>
        <v>0</v>
      </c>
    </row>
    <row r="21" spans="1:2">
      <c r="A21" s="768" t="s">
        <v>792</v>
      </c>
      <c r="B21" s="769"/>
    </row>
    <row r="22" spans="1:2">
      <c r="A22" s="491"/>
      <c r="B22" s="264"/>
    </row>
    <row r="23" spans="1:2">
      <c r="A23" s="492"/>
      <c r="B23" s="492"/>
    </row>
    <row r="24" spans="1:2">
      <c r="A24" s="492"/>
      <c r="B24" s="264"/>
    </row>
    <row r="25" spans="1:2">
      <c r="A25" s="492"/>
      <c r="B25" s="264"/>
    </row>
    <row r="26" spans="1:2">
      <c r="A26" s="45"/>
    </row>
    <row r="27" spans="1:2">
      <c r="A27" s="45"/>
    </row>
    <row r="28" spans="1:2">
      <c r="A28" s="45"/>
    </row>
    <row r="29" spans="1:2">
      <c r="A29" s="45"/>
    </row>
  </sheetData>
  <mergeCells count="7">
    <mergeCell ref="A5:B5"/>
    <mergeCell ref="A6:B6"/>
    <mergeCell ref="A21:B21"/>
    <mergeCell ref="A1:B1"/>
    <mergeCell ref="A2:B2"/>
    <mergeCell ref="A3:B3"/>
    <mergeCell ref="A4:B4"/>
  </mergeCells>
  <phoneticPr fontId="25" type="noConversion"/>
  <pageMargins left="0.78740157480314965" right="0.78740157480314965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2"/>
  <sheetViews>
    <sheetView topLeftCell="A7" workbookViewId="0">
      <selection activeCell="C34" sqref="C34"/>
    </sheetView>
  </sheetViews>
  <sheetFormatPr defaultRowHeight="12.75"/>
  <cols>
    <col min="1" max="1" width="38.85546875" style="11" customWidth="1"/>
    <col min="2" max="2" width="15.7109375" style="11" customWidth="1"/>
    <col min="3" max="3" width="36.85546875" style="11" customWidth="1"/>
    <col min="4" max="4" width="15.7109375" style="11" customWidth="1"/>
    <col min="5" max="5" width="9.140625" style="11"/>
  </cols>
  <sheetData>
    <row r="1" spans="1:4" ht="15">
      <c r="A1" s="775" t="str">
        <f>Parâmetros!A7</f>
        <v>Município de : PORTÃO/RS</v>
      </c>
      <c r="B1" s="773"/>
      <c r="C1" s="773"/>
      <c r="D1" s="773"/>
    </row>
    <row r="2" spans="1:4" ht="15">
      <c r="A2" s="773" t="s">
        <v>36</v>
      </c>
      <c r="B2" s="773"/>
      <c r="C2" s="773"/>
      <c r="D2" s="773"/>
    </row>
    <row r="3" spans="1:4" ht="15">
      <c r="A3" s="773" t="s">
        <v>163</v>
      </c>
      <c r="B3" s="773"/>
      <c r="C3" s="773"/>
      <c r="D3" s="773"/>
    </row>
    <row r="4" spans="1:4" ht="14.25">
      <c r="A4" s="776" t="s">
        <v>113</v>
      </c>
      <c r="B4" s="776"/>
      <c r="C4" s="776"/>
      <c r="D4" s="776"/>
    </row>
    <row r="5" spans="1:4" ht="15">
      <c r="A5" s="773" t="s">
        <v>598</v>
      </c>
      <c r="B5" s="773"/>
      <c r="C5" s="773"/>
      <c r="D5" s="773"/>
    </row>
    <row r="6" spans="1:4" ht="15">
      <c r="A6" s="774"/>
      <c r="B6" s="774"/>
      <c r="C6" s="774"/>
      <c r="D6" s="774"/>
    </row>
    <row r="7" spans="1:4" ht="15">
      <c r="A7" s="771" t="s">
        <v>806</v>
      </c>
      <c r="B7" s="771"/>
      <c r="C7" s="772">
        <v>1</v>
      </c>
      <c r="D7" s="772"/>
    </row>
    <row r="8" spans="1:4" ht="14.25">
      <c r="A8" s="465" t="s">
        <v>164</v>
      </c>
      <c r="B8" s="465"/>
      <c r="C8" s="465" t="s">
        <v>114</v>
      </c>
      <c r="D8" s="465"/>
    </row>
    <row r="9" spans="1:4" ht="14.25">
      <c r="A9" s="465" t="s">
        <v>115</v>
      </c>
      <c r="B9" s="465" t="s">
        <v>57</v>
      </c>
      <c r="C9" s="465" t="s">
        <v>115</v>
      </c>
      <c r="D9" s="465" t="s">
        <v>57</v>
      </c>
    </row>
    <row r="10" spans="1:4" ht="30">
      <c r="A10" s="466" t="s">
        <v>165</v>
      </c>
      <c r="B10" s="467">
        <v>350000</v>
      </c>
      <c r="C10" s="468" t="s">
        <v>803</v>
      </c>
      <c r="D10" s="467">
        <v>350000</v>
      </c>
    </row>
    <row r="11" spans="1:4" ht="15">
      <c r="A11" s="466" t="s">
        <v>166</v>
      </c>
      <c r="B11" s="467"/>
      <c r="C11" s="468" t="s">
        <v>804</v>
      </c>
      <c r="D11" s="467"/>
    </row>
    <row r="12" spans="1:4" ht="15">
      <c r="A12" s="466" t="s">
        <v>167</v>
      </c>
      <c r="B12" s="467"/>
      <c r="C12" s="468"/>
      <c r="D12" s="467"/>
    </row>
    <row r="13" spans="1:4" ht="15">
      <c r="A13" s="466" t="s">
        <v>168</v>
      </c>
      <c r="B13" s="467"/>
      <c r="C13" s="468"/>
      <c r="D13" s="467"/>
    </row>
    <row r="14" spans="1:4" ht="15">
      <c r="A14" s="466" t="s">
        <v>169</v>
      </c>
      <c r="B14" s="467"/>
      <c r="C14" s="468"/>
      <c r="D14" s="467"/>
    </row>
    <row r="15" spans="1:4" ht="15">
      <c r="A15" s="466" t="s">
        <v>170</v>
      </c>
      <c r="B15" s="467"/>
      <c r="C15" s="468"/>
      <c r="D15" s="467"/>
    </row>
    <row r="16" spans="1:4" ht="14.25">
      <c r="A16" s="469" t="s">
        <v>171</v>
      </c>
      <c r="B16" s="470">
        <v>350000</v>
      </c>
      <c r="C16" s="471" t="s">
        <v>171</v>
      </c>
      <c r="D16" s="472">
        <v>350000</v>
      </c>
    </row>
    <row r="17" spans="1:4" ht="15">
      <c r="A17" s="473"/>
      <c r="B17" s="473"/>
      <c r="C17" s="474"/>
      <c r="D17" s="475"/>
    </row>
    <row r="18" spans="1:4" ht="28.5">
      <c r="A18" s="476" t="s">
        <v>172</v>
      </c>
      <c r="B18" s="476"/>
      <c r="C18" s="465" t="s">
        <v>114</v>
      </c>
      <c r="D18" s="465"/>
    </row>
    <row r="19" spans="1:4" ht="14.25">
      <c r="A19" s="465" t="s">
        <v>115</v>
      </c>
      <c r="B19" s="465" t="s">
        <v>57</v>
      </c>
      <c r="C19" s="465" t="s">
        <v>115</v>
      </c>
      <c r="D19" s="465" t="s">
        <v>57</v>
      </c>
    </row>
    <row r="20" spans="1:4" ht="15">
      <c r="A20" s="466" t="s">
        <v>173</v>
      </c>
      <c r="B20" s="467">
        <v>500000</v>
      </c>
      <c r="C20" s="468" t="s">
        <v>805</v>
      </c>
      <c r="D20" s="467">
        <v>500000</v>
      </c>
    </row>
    <row r="21" spans="1:4" ht="15">
      <c r="A21" s="466" t="s">
        <v>174</v>
      </c>
      <c r="B21" s="467"/>
      <c r="C21" s="468"/>
      <c r="D21" s="467"/>
    </row>
    <row r="22" spans="1:4" ht="15">
      <c r="A22" s="466" t="s">
        <v>175</v>
      </c>
      <c r="B22" s="467"/>
      <c r="C22" s="468"/>
      <c r="D22" s="467"/>
    </row>
    <row r="23" spans="1:4" ht="15">
      <c r="A23" s="466" t="s">
        <v>176</v>
      </c>
      <c r="B23" s="467"/>
      <c r="C23" s="468"/>
      <c r="D23" s="467"/>
    </row>
    <row r="24" spans="1:4" ht="15">
      <c r="A24" s="466" t="s">
        <v>171</v>
      </c>
      <c r="B24" s="477">
        <v>500000</v>
      </c>
      <c r="C24" s="466" t="s">
        <v>171</v>
      </c>
      <c r="D24" s="477">
        <v>500000</v>
      </c>
    </row>
    <row r="25" spans="1:4" ht="14.25">
      <c r="A25" s="471" t="s">
        <v>89</v>
      </c>
      <c r="B25" s="472">
        <v>850000</v>
      </c>
      <c r="C25" s="471" t="s">
        <v>89</v>
      </c>
      <c r="D25" s="472">
        <v>850000</v>
      </c>
    </row>
    <row r="26" spans="1:4">
      <c r="A26" s="166"/>
      <c r="B26" s="166"/>
      <c r="C26" s="166"/>
      <c r="D26" s="166"/>
    </row>
    <row r="27" spans="1:4">
      <c r="A27" s="166"/>
      <c r="B27" s="166"/>
      <c r="C27" s="166"/>
      <c r="D27" s="166"/>
    </row>
    <row r="28" spans="1:4">
      <c r="A28" s="166"/>
      <c r="B28" s="166"/>
      <c r="C28" s="166"/>
      <c r="D28" s="166"/>
    </row>
    <row r="29" spans="1:4">
      <c r="A29" s="166"/>
      <c r="B29" s="166"/>
      <c r="C29" s="166"/>
      <c r="D29" s="166"/>
    </row>
    <row r="30" spans="1:4">
      <c r="A30" s="166"/>
      <c r="B30" s="166"/>
      <c r="C30" s="166"/>
      <c r="D30" s="166"/>
    </row>
    <row r="31" spans="1:4">
      <c r="A31" s="166"/>
      <c r="B31" s="166"/>
      <c r="C31" s="166"/>
      <c r="D31" s="166"/>
    </row>
    <row r="32" spans="1:4">
      <c r="A32" s="166"/>
      <c r="B32" s="166"/>
      <c r="C32" s="166"/>
      <c r="D32" s="166"/>
    </row>
  </sheetData>
  <mergeCells count="8">
    <mergeCell ref="A7:B7"/>
    <mergeCell ref="C7:D7"/>
    <mergeCell ref="A5:D5"/>
    <mergeCell ref="A6:D6"/>
    <mergeCell ref="A1:D1"/>
    <mergeCell ref="A2:D2"/>
    <mergeCell ref="A3:D3"/>
    <mergeCell ref="A4:D4"/>
  </mergeCells>
  <phoneticPr fontId="25" type="noConversion"/>
  <pageMargins left="0.78740157480314965" right="0.78740157480314965" top="0.98425196850393704" bottom="0.98425196850393704" header="0.51181102362204722" footer="0.51181102362204722"/>
  <pageSetup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555"/>
  <sheetViews>
    <sheetView showGridLines="0" topLeftCell="A511" workbookViewId="0">
      <selection activeCell="I424" sqref="I424"/>
    </sheetView>
  </sheetViews>
  <sheetFormatPr defaultRowHeight="12.75"/>
  <cols>
    <col min="2" max="2" width="50" customWidth="1"/>
    <col min="3" max="3" width="9.85546875" customWidth="1"/>
    <col min="4" max="4" width="12" customWidth="1"/>
    <col min="5" max="5" width="20.28515625" customWidth="1"/>
    <col min="11" max="11" width="24.5703125" customWidth="1"/>
    <col min="12" max="12" width="13.85546875" bestFit="1" customWidth="1"/>
  </cols>
  <sheetData>
    <row r="1" spans="1:12">
      <c r="A1" s="553" t="s">
        <v>604</v>
      </c>
      <c r="B1" s="553"/>
      <c r="C1" s="553"/>
      <c r="D1" s="553"/>
      <c r="E1" s="553"/>
    </row>
    <row r="2" spans="1:12">
      <c r="A2" s="553"/>
      <c r="B2" s="553"/>
      <c r="C2" s="553"/>
      <c r="D2" s="553"/>
      <c r="E2" s="553"/>
    </row>
    <row r="3" spans="1:12" ht="84.75" customHeight="1">
      <c r="A3" s="553"/>
      <c r="B3" s="553"/>
      <c r="C3" s="553"/>
      <c r="D3" s="553"/>
      <c r="E3" s="553"/>
      <c r="K3" s="257"/>
      <c r="L3" s="257"/>
    </row>
    <row r="4" spans="1:12">
      <c r="A4" s="166" t="s">
        <v>635</v>
      </c>
      <c r="K4" s="257"/>
      <c r="L4" s="257"/>
    </row>
    <row r="5" spans="1:12">
      <c r="A5" s="166" t="s">
        <v>636</v>
      </c>
      <c r="K5" s="257"/>
      <c r="L5" s="257"/>
    </row>
    <row r="6" spans="1:12" ht="13.5" thickBot="1">
      <c r="A6" s="166"/>
      <c r="K6" s="257"/>
      <c r="L6" s="257"/>
    </row>
    <row r="7" spans="1:12" ht="12.75" customHeight="1">
      <c r="A7" s="783" t="s">
        <v>188</v>
      </c>
      <c r="B7" s="248" t="s">
        <v>189</v>
      </c>
      <c r="C7" s="783" t="s">
        <v>190</v>
      </c>
      <c r="D7" s="777"/>
      <c r="E7" s="248"/>
      <c r="K7" s="257"/>
    </row>
    <row r="8" spans="1:12">
      <c r="A8" s="784"/>
      <c r="B8" s="249"/>
      <c r="C8" s="784"/>
      <c r="D8" s="778"/>
      <c r="E8" s="249">
        <v>2019</v>
      </c>
      <c r="K8" s="257"/>
    </row>
    <row r="9" spans="1:12" ht="13.5" thickBot="1">
      <c r="A9" s="785"/>
      <c r="B9" s="250" t="s">
        <v>191</v>
      </c>
      <c r="C9" s="785"/>
      <c r="D9" s="779"/>
      <c r="E9" s="252"/>
      <c r="K9" s="129"/>
    </row>
    <row r="10" spans="1:12">
      <c r="A10" s="780" t="s">
        <v>637</v>
      </c>
      <c r="B10" s="254" t="s">
        <v>638</v>
      </c>
      <c r="C10" s="780"/>
      <c r="D10" s="256" t="s">
        <v>192</v>
      </c>
      <c r="E10" s="258"/>
    </row>
    <row r="11" spans="1:12">
      <c r="A11" s="781"/>
      <c r="B11" s="254"/>
      <c r="C11" s="781"/>
      <c r="D11" s="256" t="s">
        <v>57</v>
      </c>
      <c r="E11" s="259">
        <v>3900000</v>
      </c>
    </row>
    <row r="12" spans="1:12" ht="13.5" thickBot="1">
      <c r="A12" s="782"/>
      <c r="B12" s="255" t="s">
        <v>645</v>
      </c>
      <c r="C12" s="782"/>
      <c r="D12" s="252"/>
      <c r="E12" s="260"/>
    </row>
    <row r="13" spans="1:12">
      <c r="A13" s="780" t="s">
        <v>639</v>
      </c>
      <c r="B13" s="254" t="s">
        <v>640</v>
      </c>
      <c r="C13" s="780"/>
      <c r="D13" s="256" t="s">
        <v>192</v>
      </c>
      <c r="E13" s="258"/>
      <c r="K13" s="257"/>
    </row>
    <row r="14" spans="1:12">
      <c r="A14" s="781"/>
      <c r="B14" s="254"/>
      <c r="C14" s="781"/>
      <c r="D14" s="256" t="s">
        <v>57</v>
      </c>
      <c r="E14" s="259">
        <v>100000</v>
      </c>
    </row>
    <row r="15" spans="1:12" ht="13.5" thickBot="1">
      <c r="A15" s="782"/>
      <c r="B15" s="255" t="s">
        <v>641</v>
      </c>
      <c r="C15" s="782"/>
      <c r="D15" s="252"/>
      <c r="E15" s="261"/>
    </row>
    <row r="16" spans="1:12">
      <c r="A16" s="780" t="s">
        <v>639</v>
      </c>
      <c r="B16" s="254" t="s">
        <v>642</v>
      </c>
      <c r="C16" s="780"/>
      <c r="D16" s="256" t="s">
        <v>192</v>
      </c>
      <c r="E16" s="258"/>
    </row>
    <row r="17" spans="1:11">
      <c r="A17" s="781"/>
      <c r="B17" s="254"/>
      <c r="C17" s="781"/>
      <c r="D17" s="256" t="s">
        <v>57</v>
      </c>
      <c r="E17" s="259">
        <f>200000-68867.14</f>
        <v>131132.85999999999</v>
      </c>
      <c r="K17" s="257"/>
    </row>
    <row r="18" spans="1:11" ht="13.5" thickBot="1">
      <c r="A18" s="782"/>
      <c r="B18" s="255" t="s">
        <v>643</v>
      </c>
      <c r="C18" s="782"/>
      <c r="D18" s="252"/>
      <c r="E18" s="261"/>
    </row>
    <row r="19" spans="1:11" ht="13.5" customHeight="1" thickBot="1">
      <c r="A19" s="787" t="s">
        <v>644</v>
      </c>
      <c r="B19" s="788"/>
      <c r="C19" s="788"/>
      <c r="D19" s="789"/>
      <c r="E19" s="262">
        <f>E11+E14+E17</f>
        <v>4131132.86</v>
      </c>
    </row>
    <row r="20" spans="1:11">
      <c r="A20" s="166"/>
    </row>
    <row r="21" spans="1:11">
      <c r="A21" s="264" t="s">
        <v>194</v>
      </c>
      <c r="B21" s="264" t="s">
        <v>195</v>
      </c>
    </row>
    <row r="23" spans="1:11" ht="13.5" customHeight="1">
      <c r="A23" s="265"/>
    </row>
    <row r="24" spans="1:11">
      <c r="A24" s="786"/>
      <c r="B24" s="786"/>
      <c r="C24" s="786"/>
      <c r="D24" s="246"/>
      <c r="E24" s="786"/>
    </row>
    <row r="25" spans="1:11">
      <c r="A25" s="786"/>
      <c r="B25" s="786"/>
      <c r="C25" s="786"/>
      <c r="D25" s="246"/>
      <c r="E25" s="786"/>
    </row>
    <row r="26" spans="1:11">
      <c r="A26" s="786"/>
      <c r="B26" s="786"/>
      <c r="C26" s="786"/>
      <c r="D26" s="246"/>
      <c r="E26" s="786"/>
    </row>
    <row r="27" spans="1:11">
      <c r="A27" s="786"/>
      <c r="B27" s="786"/>
      <c r="C27" s="786"/>
      <c r="D27" s="246"/>
      <c r="E27" s="786"/>
    </row>
    <row r="28" spans="1:11">
      <c r="A28" s="786"/>
      <c r="B28" s="786"/>
      <c r="C28" s="786"/>
      <c r="D28" s="246"/>
      <c r="E28" s="786"/>
    </row>
    <row r="29" spans="1:11">
      <c r="A29" s="786"/>
      <c r="B29" s="786"/>
      <c r="C29" s="786"/>
      <c r="D29" s="246"/>
      <c r="E29" s="786"/>
    </row>
    <row r="30" spans="1:11" ht="12.75" customHeight="1">
      <c r="A30" s="786"/>
      <c r="B30" s="786"/>
      <c r="C30" s="786"/>
      <c r="D30" s="246"/>
      <c r="E30" s="786"/>
    </row>
    <row r="31" spans="1:11">
      <c r="A31" s="786"/>
      <c r="B31" s="786"/>
      <c r="C31" s="786"/>
      <c r="D31" s="246"/>
      <c r="E31" s="786"/>
    </row>
    <row r="32" spans="1:11">
      <c r="A32" s="786"/>
      <c r="B32" s="786"/>
      <c r="C32" s="786"/>
      <c r="D32" s="246"/>
      <c r="E32" s="786"/>
    </row>
    <row r="33" spans="1:9">
      <c r="A33" s="786"/>
      <c r="B33" s="786"/>
      <c r="C33" s="786"/>
      <c r="D33" s="246"/>
      <c r="E33" s="786"/>
    </row>
    <row r="34" spans="1:9">
      <c r="A34" s="790"/>
      <c r="B34" s="790"/>
      <c r="C34" s="790"/>
      <c r="D34" s="790"/>
      <c r="E34" s="245"/>
    </row>
    <row r="35" spans="1:9">
      <c r="A35" s="247"/>
      <c r="B35" s="247"/>
      <c r="C35" s="51"/>
      <c r="D35" s="51"/>
      <c r="E35" s="51"/>
    </row>
    <row r="38" spans="1:9">
      <c r="A38" s="553" t="s">
        <v>604</v>
      </c>
      <c r="B38" s="553"/>
      <c r="C38" s="553"/>
      <c r="D38" s="553"/>
      <c r="E38" s="553"/>
      <c r="F38" s="553"/>
      <c r="G38" s="553"/>
      <c r="H38" s="553"/>
      <c r="I38" s="553"/>
    </row>
    <row r="39" spans="1:9">
      <c r="A39" s="553"/>
      <c r="B39" s="553"/>
      <c r="C39" s="553"/>
      <c r="D39" s="553"/>
      <c r="E39" s="553"/>
      <c r="F39" s="553"/>
      <c r="G39" s="553"/>
      <c r="H39" s="553"/>
      <c r="I39" s="553"/>
    </row>
    <row r="40" spans="1:9">
      <c r="A40" s="553"/>
      <c r="B40" s="553"/>
      <c r="C40" s="553"/>
      <c r="D40" s="553"/>
      <c r="E40" s="553"/>
      <c r="F40" s="553"/>
      <c r="G40" s="553"/>
      <c r="H40" s="553"/>
      <c r="I40" s="553"/>
    </row>
    <row r="41" spans="1:9">
      <c r="A41" s="166" t="s">
        <v>646</v>
      </c>
    </row>
    <row r="42" spans="1:9">
      <c r="A42" s="166" t="s">
        <v>761</v>
      </c>
    </row>
    <row r="43" spans="1:9" ht="13.5" thickBot="1">
      <c r="A43" s="166" t="s">
        <v>762</v>
      </c>
    </row>
    <row r="44" spans="1:9">
      <c r="A44" s="783" t="s">
        <v>188</v>
      </c>
      <c r="B44" s="248" t="s">
        <v>189</v>
      </c>
      <c r="C44" s="783" t="s">
        <v>190</v>
      </c>
      <c r="D44" s="777"/>
      <c r="E44" s="248"/>
    </row>
    <row r="45" spans="1:9">
      <c r="A45" s="784"/>
      <c r="B45" s="249"/>
      <c r="C45" s="784"/>
      <c r="D45" s="778"/>
      <c r="E45" s="249">
        <v>2019</v>
      </c>
    </row>
    <row r="46" spans="1:9" ht="13.5" thickBot="1">
      <c r="A46" s="785"/>
      <c r="B46" s="250" t="s">
        <v>191</v>
      </c>
      <c r="C46" s="785"/>
      <c r="D46" s="779"/>
      <c r="E46" s="252"/>
    </row>
    <row r="47" spans="1:9">
      <c r="A47" s="780" t="s">
        <v>637</v>
      </c>
      <c r="B47" s="254" t="s">
        <v>647</v>
      </c>
      <c r="C47" s="780"/>
      <c r="D47" s="256" t="s">
        <v>192</v>
      </c>
      <c r="E47" s="258"/>
    </row>
    <row r="48" spans="1:9">
      <c r="A48" s="781"/>
      <c r="B48" s="254"/>
      <c r="C48" s="781"/>
      <c r="D48" s="256" t="s">
        <v>57</v>
      </c>
      <c r="E48" s="259">
        <v>7200000</v>
      </c>
    </row>
    <row r="49" spans="1:5" ht="13.5" thickBot="1">
      <c r="A49" s="782"/>
      <c r="B49" s="255" t="s">
        <v>648</v>
      </c>
      <c r="C49" s="782"/>
      <c r="D49" s="252"/>
      <c r="E49" s="261"/>
    </row>
    <row r="50" spans="1:5">
      <c r="A50" s="780" t="s">
        <v>639</v>
      </c>
      <c r="B50" s="254" t="s">
        <v>649</v>
      </c>
      <c r="C50" s="780"/>
      <c r="D50" s="256" t="s">
        <v>192</v>
      </c>
      <c r="E50" s="258"/>
    </row>
    <row r="51" spans="1:5">
      <c r="A51" s="781"/>
      <c r="B51" s="254"/>
      <c r="C51" s="781"/>
      <c r="D51" s="256" t="s">
        <v>57</v>
      </c>
      <c r="E51" s="259">
        <v>50000</v>
      </c>
    </row>
    <row r="52" spans="1:5" ht="13.5" thickBot="1">
      <c r="A52" s="782"/>
      <c r="B52" s="255" t="s">
        <v>650</v>
      </c>
      <c r="C52" s="782"/>
      <c r="D52" s="252"/>
      <c r="E52" s="261"/>
    </row>
    <row r="53" spans="1:5">
      <c r="A53" s="253"/>
      <c r="B53" s="254"/>
      <c r="C53" s="780"/>
      <c r="D53" s="256" t="s">
        <v>192</v>
      </c>
      <c r="E53" s="258"/>
    </row>
    <row r="54" spans="1:5" ht="13.5" thickBot="1">
      <c r="A54" s="263" t="s">
        <v>639</v>
      </c>
      <c r="B54" s="255" t="s">
        <v>651</v>
      </c>
      <c r="C54" s="782"/>
      <c r="D54" s="266" t="s">
        <v>57</v>
      </c>
      <c r="E54" s="267">
        <v>50000</v>
      </c>
    </row>
    <row r="55" spans="1:5" ht="13.5" thickBot="1">
      <c r="A55" s="787" t="s">
        <v>644</v>
      </c>
      <c r="B55" s="788"/>
      <c r="C55" s="788"/>
      <c r="D55" s="789"/>
      <c r="E55" s="262">
        <f>E48+E51+E54</f>
        <v>7300000</v>
      </c>
    </row>
    <row r="56" spans="1:5">
      <c r="A56" s="166"/>
    </row>
    <row r="57" spans="1:5">
      <c r="A57" s="264" t="s">
        <v>194</v>
      </c>
      <c r="B57" s="264" t="s">
        <v>195</v>
      </c>
    </row>
    <row r="59" spans="1:5">
      <c r="A59" s="265"/>
    </row>
    <row r="84" spans="1:8">
      <c r="A84" s="553" t="s">
        <v>604</v>
      </c>
      <c r="B84" s="553"/>
      <c r="C84" s="553"/>
      <c r="D84" s="553"/>
      <c r="E84" s="553"/>
    </row>
    <row r="85" spans="1:8">
      <c r="A85" s="553" t="s">
        <v>187</v>
      </c>
      <c r="B85" s="553"/>
      <c r="C85" s="553"/>
      <c r="D85" s="553"/>
      <c r="E85" s="553"/>
      <c r="F85" s="553"/>
      <c r="G85" s="553"/>
      <c r="H85" s="553"/>
    </row>
    <row r="86" spans="1:8">
      <c r="A86" s="166"/>
    </row>
    <row r="87" spans="1:8">
      <c r="A87" s="166" t="s">
        <v>652</v>
      </c>
    </row>
    <row r="88" spans="1:8">
      <c r="A88" s="166" t="s">
        <v>763</v>
      </c>
    </row>
    <row r="89" spans="1:8" ht="13.5" thickBot="1">
      <c r="A89" s="166" t="s">
        <v>764</v>
      </c>
    </row>
    <row r="90" spans="1:8">
      <c r="A90" s="783" t="s">
        <v>188</v>
      </c>
      <c r="B90" s="248" t="s">
        <v>189</v>
      </c>
      <c r="C90" s="783" t="s">
        <v>190</v>
      </c>
      <c r="D90" s="777"/>
      <c r="E90" s="248"/>
    </row>
    <row r="91" spans="1:8">
      <c r="A91" s="784"/>
      <c r="B91" s="249"/>
      <c r="C91" s="784"/>
      <c r="D91" s="778"/>
      <c r="E91" s="249">
        <v>2019</v>
      </c>
    </row>
    <row r="92" spans="1:8" ht="13.5" thickBot="1">
      <c r="A92" s="785"/>
      <c r="B92" s="250" t="s">
        <v>191</v>
      </c>
      <c r="C92" s="785"/>
      <c r="D92" s="779"/>
      <c r="E92" s="252"/>
    </row>
    <row r="93" spans="1:8">
      <c r="A93" s="780" t="s">
        <v>637</v>
      </c>
      <c r="B93" s="254" t="s">
        <v>653</v>
      </c>
      <c r="C93" s="780"/>
      <c r="D93" s="256" t="s">
        <v>192</v>
      </c>
      <c r="E93" s="259"/>
    </row>
    <row r="94" spans="1:8">
      <c r="A94" s="781"/>
      <c r="B94" s="254"/>
      <c r="C94" s="781"/>
      <c r="D94" s="256" t="s">
        <v>57</v>
      </c>
      <c r="E94" s="259">
        <v>10035609.1</v>
      </c>
    </row>
    <row r="95" spans="1:8" ht="13.5" thickBot="1">
      <c r="A95" s="782"/>
      <c r="B95" s="255" t="s">
        <v>648</v>
      </c>
      <c r="C95" s="782"/>
      <c r="D95" s="252"/>
      <c r="E95" s="261"/>
    </row>
    <row r="96" spans="1:8">
      <c r="A96" s="780" t="s">
        <v>654</v>
      </c>
      <c r="B96" s="791" t="s">
        <v>655</v>
      </c>
      <c r="C96" s="780"/>
      <c r="D96" s="256" t="s">
        <v>192</v>
      </c>
      <c r="E96" s="258"/>
    </row>
    <row r="97" spans="1:5" ht="13.5" thickBot="1">
      <c r="A97" s="782"/>
      <c r="B97" s="792"/>
      <c r="C97" s="782"/>
      <c r="D97" s="266" t="s">
        <v>57</v>
      </c>
      <c r="E97" s="267">
        <f>16964500-10035609.1</f>
        <v>6928890.9000000004</v>
      </c>
    </row>
    <row r="98" spans="1:5" ht="13.5" thickBot="1">
      <c r="A98" s="787" t="s">
        <v>644</v>
      </c>
      <c r="B98" s="788"/>
      <c r="C98" s="788"/>
      <c r="D98" s="789"/>
      <c r="E98" s="262">
        <f>E94+E97</f>
        <v>16964500</v>
      </c>
    </row>
    <row r="99" spans="1:5">
      <c r="A99" s="264"/>
    </row>
    <row r="100" spans="1:5">
      <c r="A100" s="264" t="s">
        <v>194</v>
      </c>
      <c r="B100" s="264" t="s">
        <v>195</v>
      </c>
    </row>
    <row r="127" spans="1:5">
      <c r="A127" s="553" t="s">
        <v>604</v>
      </c>
      <c r="B127" s="553"/>
      <c r="C127" s="553"/>
      <c r="D127" s="553"/>
      <c r="E127" s="553"/>
    </row>
    <row r="128" spans="1:5">
      <c r="A128" s="553" t="s">
        <v>187</v>
      </c>
      <c r="B128" s="553"/>
      <c r="C128" s="553"/>
      <c r="D128" s="553"/>
      <c r="E128" s="553"/>
    </row>
    <row r="129" spans="1:5">
      <c r="A129" s="166"/>
    </row>
    <row r="130" spans="1:5">
      <c r="A130" s="166" t="s">
        <v>656</v>
      </c>
    </row>
    <row r="131" spans="1:5">
      <c r="A131" s="166" t="s">
        <v>765</v>
      </c>
    </row>
    <row r="132" spans="1:5" ht="13.5" thickBot="1">
      <c r="A132" s="166" t="s">
        <v>766</v>
      </c>
    </row>
    <row r="133" spans="1:5">
      <c r="A133" s="783" t="s">
        <v>188</v>
      </c>
      <c r="B133" s="248" t="s">
        <v>189</v>
      </c>
      <c r="C133" s="783" t="s">
        <v>190</v>
      </c>
      <c r="D133" s="777"/>
      <c r="E133" s="248"/>
    </row>
    <row r="134" spans="1:5">
      <c r="A134" s="784"/>
      <c r="B134" s="249"/>
      <c r="C134" s="784"/>
      <c r="D134" s="778"/>
      <c r="E134" s="249">
        <v>2019</v>
      </c>
    </row>
    <row r="135" spans="1:5" ht="13.5" thickBot="1">
      <c r="A135" s="785"/>
      <c r="B135" s="250" t="s">
        <v>191</v>
      </c>
      <c r="C135" s="785"/>
      <c r="D135" s="779"/>
      <c r="E135" s="252"/>
    </row>
    <row r="136" spans="1:5">
      <c r="A136" s="780" t="s">
        <v>637</v>
      </c>
      <c r="B136" s="254" t="s">
        <v>657</v>
      </c>
      <c r="C136" s="780"/>
      <c r="D136" s="256" t="s">
        <v>192</v>
      </c>
      <c r="E136" s="258"/>
    </row>
    <row r="137" spans="1:5">
      <c r="A137" s="781"/>
      <c r="B137" s="254"/>
      <c r="C137" s="781"/>
      <c r="D137" s="256" t="s">
        <v>57</v>
      </c>
      <c r="E137" s="259">
        <v>1750000</v>
      </c>
    </row>
    <row r="138" spans="1:5" ht="13.5" thickBot="1">
      <c r="A138" s="782"/>
      <c r="B138" s="255" t="s">
        <v>648</v>
      </c>
      <c r="C138" s="782"/>
      <c r="D138" s="252"/>
      <c r="E138" s="261"/>
    </row>
    <row r="139" spans="1:5">
      <c r="A139" s="780" t="s">
        <v>637</v>
      </c>
      <c r="B139" s="791" t="s">
        <v>658</v>
      </c>
      <c r="C139" s="780"/>
      <c r="D139" s="256" t="s">
        <v>192</v>
      </c>
      <c r="E139" s="258"/>
    </row>
    <row r="140" spans="1:5" ht="13.5" thickBot="1">
      <c r="A140" s="782"/>
      <c r="B140" s="792"/>
      <c r="C140" s="782"/>
      <c r="D140" s="266" t="s">
        <v>57</v>
      </c>
      <c r="E140" s="267">
        <v>270000</v>
      </c>
    </row>
    <row r="141" spans="1:5">
      <c r="A141" s="780" t="s">
        <v>639</v>
      </c>
      <c r="B141" s="791" t="s">
        <v>659</v>
      </c>
      <c r="C141" s="780"/>
      <c r="D141" s="256" t="s">
        <v>192</v>
      </c>
      <c r="E141" s="258"/>
    </row>
    <row r="142" spans="1:5" ht="13.5" thickBot="1">
      <c r="A142" s="782"/>
      <c r="B142" s="792"/>
      <c r="C142" s="782"/>
      <c r="D142" s="266" t="s">
        <v>57</v>
      </c>
      <c r="E142" s="267">
        <v>5000</v>
      </c>
    </row>
    <row r="143" spans="1:5">
      <c r="A143" s="780" t="s">
        <v>654</v>
      </c>
      <c r="B143" s="791" t="s">
        <v>660</v>
      </c>
      <c r="C143" s="780"/>
      <c r="D143" s="256" t="s">
        <v>192</v>
      </c>
      <c r="E143" s="258"/>
    </row>
    <row r="144" spans="1:5" ht="13.5" thickBot="1">
      <c r="A144" s="782"/>
      <c r="B144" s="792"/>
      <c r="C144" s="782"/>
      <c r="D144" s="266" t="s">
        <v>57</v>
      </c>
      <c r="E144" s="267">
        <v>2615650</v>
      </c>
    </row>
    <row r="145" spans="1:5">
      <c r="A145" s="780" t="s">
        <v>654</v>
      </c>
      <c r="B145" s="791" t="s">
        <v>661</v>
      </c>
      <c r="C145" s="780"/>
      <c r="D145" s="256" t="s">
        <v>192</v>
      </c>
      <c r="E145" s="258"/>
    </row>
    <row r="146" spans="1:5" ht="13.5" thickBot="1">
      <c r="A146" s="782"/>
      <c r="B146" s="792"/>
      <c r="C146" s="782"/>
      <c r="D146" s="266" t="s">
        <v>57</v>
      </c>
      <c r="E146" s="267">
        <v>1000000</v>
      </c>
    </row>
    <row r="147" spans="1:5" ht="13.5" thickBot="1">
      <c r="A147" s="787" t="s">
        <v>644</v>
      </c>
      <c r="B147" s="788"/>
      <c r="C147" s="788"/>
      <c r="D147" s="789"/>
      <c r="E147" s="262">
        <f>E137+E140+E142+E144+E146</f>
        <v>5640650</v>
      </c>
    </row>
    <row r="148" spans="1:5">
      <c r="A148" s="264"/>
    </row>
    <row r="149" spans="1:5">
      <c r="A149" s="264" t="s">
        <v>194</v>
      </c>
      <c r="B149" s="264" t="s">
        <v>662</v>
      </c>
    </row>
    <row r="169" spans="1:5">
      <c r="A169" s="553" t="s">
        <v>604</v>
      </c>
      <c r="B169" s="553"/>
      <c r="C169" s="553"/>
      <c r="D169" s="553"/>
      <c r="E169" s="553"/>
    </row>
    <row r="170" spans="1:5">
      <c r="A170" s="553" t="s">
        <v>187</v>
      </c>
      <c r="B170" s="553"/>
      <c r="C170" s="553"/>
      <c r="D170" s="553"/>
      <c r="E170" s="553"/>
    </row>
    <row r="171" spans="1:5" ht="8.25" customHeight="1">
      <c r="A171" s="166"/>
    </row>
    <row r="172" spans="1:5">
      <c r="A172" s="166" t="s">
        <v>663</v>
      </c>
    </row>
    <row r="173" spans="1:5">
      <c r="A173" s="166" t="s">
        <v>767</v>
      </c>
    </row>
    <row r="174" spans="1:5">
      <c r="A174" s="280" t="s">
        <v>768</v>
      </c>
    </row>
    <row r="175" spans="1:5">
      <c r="A175" s="280" t="s">
        <v>769</v>
      </c>
    </row>
    <row r="176" spans="1:5">
      <c r="A176" s="280" t="s">
        <v>770</v>
      </c>
    </row>
    <row r="177" spans="1:5" ht="3.75" customHeight="1" thickBot="1">
      <c r="A177" s="280"/>
    </row>
    <row r="178" spans="1:5">
      <c r="A178" s="783" t="s">
        <v>188</v>
      </c>
      <c r="B178" s="248" t="s">
        <v>189</v>
      </c>
      <c r="C178" s="783" t="s">
        <v>190</v>
      </c>
      <c r="D178" s="777"/>
      <c r="E178" s="248"/>
    </row>
    <row r="179" spans="1:5">
      <c r="A179" s="784"/>
      <c r="B179" s="249"/>
      <c r="C179" s="784"/>
      <c r="D179" s="778"/>
      <c r="E179" s="249">
        <v>2019</v>
      </c>
    </row>
    <row r="180" spans="1:5" ht="13.5" thickBot="1">
      <c r="A180" s="785"/>
      <c r="B180" s="250" t="s">
        <v>191</v>
      </c>
      <c r="C180" s="785"/>
      <c r="D180" s="779"/>
      <c r="E180" s="252"/>
    </row>
    <row r="181" spans="1:5">
      <c r="A181" s="780" t="s">
        <v>637</v>
      </c>
      <c r="B181" s="254" t="s">
        <v>664</v>
      </c>
      <c r="C181" s="780"/>
      <c r="D181" s="256" t="s">
        <v>192</v>
      </c>
      <c r="E181" s="258"/>
    </row>
    <row r="182" spans="1:5">
      <c r="A182" s="781"/>
      <c r="B182" s="254"/>
      <c r="C182" s="781"/>
      <c r="D182" s="256" t="s">
        <v>57</v>
      </c>
      <c r="E182" s="259">
        <v>5200000</v>
      </c>
    </row>
    <row r="183" spans="1:5" ht="13.5" thickBot="1">
      <c r="A183" s="782"/>
      <c r="B183" s="255" t="s">
        <v>665</v>
      </c>
      <c r="C183" s="782"/>
      <c r="D183" s="252"/>
      <c r="E183" s="261"/>
    </row>
    <row r="184" spans="1:5" ht="25.5">
      <c r="A184" s="780" t="s">
        <v>639</v>
      </c>
      <c r="B184" s="254" t="s">
        <v>666</v>
      </c>
      <c r="C184" s="780"/>
      <c r="D184" s="256" t="s">
        <v>192</v>
      </c>
      <c r="E184" s="258"/>
    </row>
    <row r="185" spans="1:5" ht="13.5" thickBot="1">
      <c r="A185" s="782"/>
      <c r="B185" s="255" t="s">
        <v>667</v>
      </c>
      <c r="C185" s="782"/>
      <c r="D185" s="266" t="s">
        <v>57</v>
      </c>
      <c r="E185" s="267">
        <v>4003136</v>
      </c>
    </row>
    <row r="186" spans="1:5">
      <c r="A186" s="780" t="s">
        <v>639</v>
      </c>
      <c r="B186" s="254" t="s">
        <v>668</v>
      </c>
      <c r="C186" s="780"/>
      <c r="D186" s="256" t="s">
        <v>192</v>
      </c>
      <c r="E186" s="258"/>
    </row>
    <row r="187" spans="1:5">
      <c r="A187" s="781"/>
      <c r="B187" s="254"/>
      <c r="C187" s="781"/>
      <c r="D187" s="256" t="s">
        <v>57</v>
      </c>
      <c r="E187" s="259">
        <v>1500000</v>
      </c>
    </row>
    <row r="188" spans="1:5" ht="13.5" thickBot="1">
      <c r="A188" s="782"/>
      <c r="B188" s="255" t="s">
        <v>669</v>
      </c>
      <c r="C188" s="782"/>
      <c r="D188" s="252"/>
      <c r="E188" s="261"/>
    </row>
    <row r="189" spans="1:5" ht="25.5">
      <c r="A189" s="780" t="s">
        <v>639</v>
      </c>
      <c r="B189" s="254" t="s">
        <v>670</v>
      </c>
      <c r="C189" s="780"/>
      <c r="D189" s="256" t="s">
        <v>192</v>
      </c>
      <c r="E189" s="258"/>
    </row>
    <row r="190" spans="1:5">
      <c r="A190" s="781"/>
      <c r="B190" s="254"/>
      <c r="C190" s="781"/>
      <c r="D190" s="256" t="s">
        <v>57</v>
      </c>
      <c r="E190" s="259">
        <v>1200000</v>
      </c>
    </row>
    <row r="191" spans="1:5" ht="13.5" thickBot="1">
      <c r="A191" s="782"/>
      <c r="B191" s="255" t="s">
        <v>671</v>
      </c>
      <c r="C191" s="782"/>
      <c r="D191" s="252"/>
      <c r="E191" s="261"/>
    </row>
    <row r="192" spans="1:5" ht="25.5">
      <c r="A192" s="780" t="s">
        <v>637</v>
      </c>
      <c r="B192" s="254" t="s">
        <v>672</v>
      </c>
      <c r="C192" s="780"/>
      <c r="D192" s="256" t="s">
        <v>192</v>
      </c>
      <c r="E192" s="258"/>
    </row>
    <row r="193" spans="1:5" ht="13.5" thickBot="1">
      <c r="A193" s="782"/>
      <c r="B193" s="255" t="s">
        <v>673</v>
      </c>
      <c r="C193" s="782"/>
      <c r="D193" s="266" t="s">
        <v>57</v>
      </c>
      <c r="E193" s="267">
        <v>5000000</v>
      </c>
    </row>
    <row r="194" spans="1:5" ht="38.25">
      <c r="A194" s="780" t="s">
        <v>639</v>
      </c>
      <c r="B194" s="254" t="s">
        <v>674</v>
      </c>
      <c r="C194" s="780"/>
      <c r="D194" s="256" t="s">
        <v>192</v>
      </c>
      <c r="E194" s="258"/>
    </row>
    <row r="195" spans="1:5" ht="13.5" thickBot="1">
      <c r="A195" s="782"/>
      <c r="B195" s="255" t="s">
        <v>669</v>
      </c>
      <c r="C195" s="782"/>
      <c r="D195" s="266" t="s">
        <v>57</v>
      </c>
      <c r="E195" s="267">
        <v>1000000</v>
      </c>
    </row>
    <row r="196" spans="1:5" ht="25.5">
      <c r="A196" s="780" t="s">
        <v>637</v>
      </c>
      <c r="B196" s="254" t="s">
        <v>675</v>
      </c>
      <c r="C196" s="780"/>
      <c r="D196" s="256" t="s">
        <v>192</v>
      </c>
      <c r="E196" s="258"/>
    </row>
    <row r="197" spans="1:5" ht="13.5" thickBot="1">
      <c r="A197" s="782"/>
      <c r="B197" s="255" t="s">
        <v>673</v>
      </c>
      <c r="C197" s="782"/>
      <c r="D197" s="266" t="s">
        <v>57</v>
      </c>
      <c r="E197" s="267">
        <v>535000</v>
      </c>
    </row>
    <row r="198" spans="1:5">
      <c r="A198" s="780" t="s">
        <v>639</v>
      </c>
      <c r="B198" s="254" t="s">
        <v>676</v>
      </c>
      <c r="C198" s="780"/>
      <c r="D198" s="256" t="s">
        <v>192</v>
      </c>
      <c r="E198" s="793">
        <v>1200000</v>
      </c>
    </row>
    <row r="199" spans="1:5" ht="13.5" thickBot="1">
      <c r="A199" s="782"/>
      <c r="B199" s="255" t="s">
        <v>677</v>
      </c>
      <c r="C199" s="782"/>
      <c r="D199" s="266" t="s">
        <v>57</v>
      </c>
      <c r="E199" s="794"/>
    </row>
    <row r="200" spans="1:5" ht="25.5">
      <c r="A200" s="780" t="s">
        <v>639</v>
      </c>
      <c r="B200" s="254" t="s">
        <v>678</v>
      </c>
      <c r="C200" s="780"/>
      <c r="D200" s="256" t="s">
        <v>192</v>
      </c>
      <c r="E200" s="258"/>
    </row>
    <row r="201" spans="1:5">
      <c r="A201" s="781"/>
      <c r="B201" s="254" t="s">
        <v>679</v>
      </c>
      <c r="C201" s="781"/>
      <c r="D201" s="256"/>
      <c r="E201" s="258"/>
    </row>
    <row r="202" spans="1:5" ht="16.5" customHeight="1">
      <c r="A202" s="781"/>
      <c r="B202" s="254"/>
      <c r="C202" s="781"/>
      <c r="D202" s="256" t="s">
        <v>57</v>
      </c>
      <c r="E202" s="259">
        <v>200000</v>
      </c>
    </row>
    <row r="203" spans="1:5" ht="34.5" customHeight="1">
      <c r="A203" s="533"/>
      <c r="B203" s="534"/>
      <c r="C203" s="219"/>
      <c r="D203" s="538"/>
      <c r="E203" s="451"/>
    </row>
    <row r="204" spans="1:5" ht="33" customHeight="1">
      <c r="A204" s="533"/>
      <c r="B204" s="534"/>
      <c r="C204" s="219"/>
      <c r="D204" s="538"/>
      <c r="E204" s="451"/>
    </row>
    <row r="205" spans="1:5" ht="38.25">
      <c r="A205" s="803" t="s">
        <v>639</v>
      </c>
      <c r="B205" s="535" t="s">
        <v>680</v>
      </c>
      <c r="C205" s="803"/>
      <c r="D205" s="536" t="s">
        <v>192</v>
      </c>
      <c r="E205" s="537"/>
    </row>
    <row r="206" spans="1:5" ht="13.5" thickBot="1">
      <c r="A206" s="782"/>
      <c r="B206" s="255" t="s">
        <v>681</v>
      </c>
      <c r="C206" s="782"/>
      <c r="D206" s="266" t="s">
        <v>57</v>
      </c>
      <c r="E206" s="267">
        <v>1000000</v>
      </c>
    </row>
    <row r="207" spans="1:5" ht="38.25">
      <c r="A207" s="780" t="s">
        <v>637</v>
      </c>
      <c r="B207" s="254" t="s">
        <v>682</v>
      </c>
      <c r="C207" s="780"/>
      <c r="D207" s="256" t="s">
        <v>192</v>
      </c>
      <c r="E207" s="258"/>
    </row>
    <row r="208" spans="1:5" ht="13.5" thickBot="1">
      <c r="A208" s="782"/>
      <c r="B208" s="255" t="s">
        <v>673</v>
      </c>
      <c r="C208" s="782"/>
      <c r="D208" s="266" t="s">
        <v>57</v>
      </c>
      <c r="E208" s="267">
        <v>1500000</v>
      </c>
    </row>
    <row r="209" spans="1:5" ht="25.5">
      <c r="A209" s="801" t="s">
        <v>639</v>
      </c>
      <c r="B209" s="254" t="s">
        <v>683</v>
      </c>
      <c r="C209" s="801"/>
      <c r="D209" s="268" t="s">
        <v>192</v>
      </c>
      <c r="E209" s="269"/>
    </row>
    <row r="210" spans="1:5" ht="13.5" thickBot="1">
      <c r="A210" s="802"/>
      <c r="B210" s="254" t="s">
        <v>684</v>
      </c>
      <c r="C210" s="802"/>
      <c r="D210" s="268" t="s">
        <v>57</v>
      </c>
      <c r="E210" s="267">
        <v>1000000</v>
      </c>
    </row>
    <row r="211" spans="1:5" ht="25.5">
      <c r="A211" s="801" t="s">
        <v>639</v>
      </c>
      <c r="B211" s="270" t="s">
        <v>685</v>
      </c>
      <c r="C211" s="801"/>
      <c r="D211" s="271" t="s">
        <v>192</v>
      </c>
      <c r="E211" s="269"/>
    </row>
    <row r="212" spans="1:5" ht="13.5" thickBot="1">
      <c r="A212" s="802"/>
      <c r="B212" s="254" t="s">
        <v>673</v>
      </c>
      <c r="C212" s="802"/>
      <c r="D212" s="268" t="s">
        <v>57</v>
      </c>
      <c r="E212" s="272">
        <v>50000</v>
      </c>
    </row>
    <row r="213" spans="1:5">
      <c r="A213" s="801" t="s">
        <v>637</v>
      </c>
      <c r="B213" s="270" t="s">
        <v>686</v>
      </c>
      <c r="C213" s="801"/>
      <c r="D213" s="271" t="s">
        <v>192</v>
      </c>
      <c r="E213" s="269"/>
    </row>
    <row r="214" spans="1:5" ht="13.5" thickBot="1">
      <c r="A214" s="802"/>
      <c r="B214" s="254" t="s">
        <v>665</v>
      </c>
      <c r="C214" s="802"/>
      <c r="D214" s="268" t="s">
        <v>57</v>
      </c>
      <c r="E214" s="267">
        <v>1100000</v>
      </c>
    </row>
    <row r="215" spans="1:5" ht="25.5">
      <c r="A215" s="801" t="s">
        <v>639</v>
      </c>
      <c r="B215" s="270" t="s">
        <v>687</v>
      </c>
      <c r="C215" s="801"/>
      <c r="D215" s="271" t="s">
        <v>192</v>
      </c>
      <c r="E215" s="269"/>
    </row>
    <row r="216" spans="1:5" ht="13.5" thickBot="1">
      <c r="A216" s="802"/>
      <c r="B216" s="254" t="s">
        <v>671</v>
      </c>
      <c r="C216" s="802"/>
      <c r="D216" s="268" t="s">
        <v>57</v>
      </c>
      <c r="E216" s="267">
        <v>400000</v>
      </c>
    </row>
    <row r="217" spans="1:5" ht="25.5">
      <c r="A217" s="801" t="s">
        <v>639</v>
      </c>
      <c r="B217" s="270" t="s">
        <v>688</v>
      </c>
      <c r="C217" s="801"/>
      <c r="D217" s="271" t="s">
        <v>192</v>
      </c>
      <c r="E217" s="269"/>
    </row>
    <row r="218" spans="1:5" ht="13.5" thickBot="1">
      <c r="A218" s="802"/>
      <c r="B218" s="254" t="s">
        <v>673</v>
      </c>
      <c r="C218" s="802"/>
      <c r="D218" s="268" t="s">
        <v>57</v>
      </c>
      <c r="E218" s="267">
        <v>500000</v>
      </c>
    </row>
    <row r="219" spans="1:5">
      <c r="A219" s="801" t="s">
        <v>637</v>
      </c>
      <c r="B219" s="270" t="s">
        <v>689</v>
      </c>
      <c r="C219" s="801"/>
      <c r="D219" s="271" t="s">
        <v>192</v>
      </c>
      <c r="E219" s="269"/>
    </row>
    <row r="220" spans="1:5" ht="13.5" thickBot="1">
      <c r="A220" s="802"/>
      <c r="B220" s="254" t="s">
        <v>648</v>
      </c>
      <c r="C220" s="802"/>
      <c r="D220" s="268" t="s">
        <v>57</v>
      </c>
      <c r="E220" s="267">
        <v>2600000</v>
      </c>
    </row>
    <row r="221" spans="1:5">
      <c r="A221" s="801" t="s">
        <v>637</v>
      </c>
      <c r="B221" s="270" t="s">
        <v>690</v>
      </c>
      <c r="C221" s="801"/>
      <c r="D221" s="271" t="s">
        <v>192</v>
      </c>
      <c r="E221" s="269"/>
    </row>
    <row r="222" spans="1:5" ht="13.5" thickBot="1">
      <c r="A222" s="802"/>
      <c r="B222" s="254" t="s">
        <v>691</v>
      </c>
      <c r="C222" s="802"/>
      <c r="D222" s="268" t="s">
        <v>57</v>
      </c>
      <c r="E222" s="267">
        <v>110000</v>
      </c>
    </row>
    <row r="223" spans="1:5" ht="25.5">
      <c r="A223" s="801" t="s">
        <v>637</v>
      </c>
      <c r="B223" s="270" t="s">
        <v>692</v>
      </c>
      <c r="C223" s="801"/>
      <c r="D223" s="271" t="s">
        <v>192</v>
      </c>
      <c r="E223" s="796">
        <v>15000</v>
      </c>
    </row>
    <row r="224" spans="1:5" ht="13.5" thickBot="1">
      <c r="A224" s="802"/>
      <c r="B224" s="254" t="s">
        <v>673</v>
      </c>
      <c r="C224" s="802"/>
      <c r="D224" s="273" t="s">
        <v>57</v>
      </c>
      <c r="E224" s="797"/>
    </row>
    <row r="225" spans="1:5" ht="13.5" thickBot="1">
      <c r="A225" s="798" t="s">
        <v>193</v>
      </c>
      <c r="B225" s="799"/>
      <c r="C225" s="799"/>
      <c r="D225" s="800"/>
      <c r="E225" s="262">
        <f>E182+E185+E187+E190+E193+E195+E197+E198+E202+E206+E208+E210+E212+E214+E216+E218+E220+E222+E223</f>
        <v>28113136</v>
      </c>
    </row>
    <row r="226" spans="1:5">
      <c r="A226" s="264"/>
    </row>
    <row r="227" spans="1:5">
      <c r="A227" s="264" t="s">
        <v>194</v>
      </c>
      <c r="B227" s="264" t="s">
        <v>195</v>
      </c>
    </row>
    <row r="237" spans="1:5" ht="33.75" customHeight="1"/>
    <row r="240" spans="1:5">
      <c r="A240" s="553" t="s">
        <v>604</v>
      </c>
      <c r="B240" s="553"/>
      <c r="C240" s="553"/>
      <c r="D240" s="553"/>
      <c r="E240" s="553"/>
    </row>
    <row r="241" spans="1:5">
      <c r="A241" s="553" t="s">
        <v>187</v>
      </c>
      <c r="B241" s="553"/>
      <c r="C241" s="553"/>
      <c r="D241" s="553"/>
      <c r="E241" s="553"/>
    </row>
    <row r="242" spans="1:5">
      <c r="A242" s="166"/>
    </row>
    <row r="243" spans="1:5">
      <c r="A243" s="166" t="s">
        <v>693</v>
      </c>
    </row>
    <row r="244" spans="1:5">
      <c r="A244" s="166" t="s">
        <v>771</v>
      </c>
    </row>
    <row r="245" spans="1:5">
      <c r="A245" s="280" t="s">
        <v>772</v>
      </c>
    </row>
    <row r="246" spans="1:5" ht="13.5" thickBot="1">
      <c r="A246" s="280" t="s">
        <v>773</v>
      </c>
    </row>
    <row r="247" spans="1:5">
      <c r="A247" s="783" t="s">
        <v>188</v>
      </c>
      <c r="B247" s="274" t="s">
        <v>189</v>
      </c>
      <c r="C247" s="783" t="s">
        <v>190</v>
      </c>
      <c r="D247" s="777"/>
      <c r="E247" s="248"/>
    </row>
    <row r="248" spans="1:5">
      <c r="A248" s="784"/>
      <c r="B248" s="275"/>
      <c r="C248" s="784"/>
      <c r="D248" s="778"/>
      <c r="E248" s="249">
        <v>2019</v>
      </c>
    </row>
    <row r="249" spans="1:5" ht="13.5" thickBot="1">
      <c r="A249" s="785"/>
      <c r="B249" s="276" t="s">
        <v>191</v>
      </c>
      <c r="C249" s="785"/>
      <c r="D249" s="779"/>
      <c r="E249" s="252"/>
    </row>
    <row r="250" spans="1:5">
      <c r="A250" s="780" t="s">
        <v>637</v>
      </c>
      <c r="B250" s="254" t="s">
        <v>694</v>
      </c>
      <c r="C250" s="780"/>
      <c r="D250" s="256" t="s">
        <v>192</v>
      </c>
      <c r="E250" s="258"/>
    </row>
    <row r="251" spans="1:5">
      <c r="A251" s="781"/>
      <c r="B251" s="254"/>
      <c r="C251" s="781"/>
      <c r="D251" s="256" t="s">
        <v>57</v>
      </c>
      <c r="E251" s="259">
        <v>6332786</v>
      </c>
    </row>
    <row r="252" spans="1:5" ht="13.5" thickBot="1">
      <c r="A252" s="782"/>
      <c r="B252" s="255" t="s">
        <v>648</v>
      </c>
      <c r="C252" s="782"/>
      <c r="D252" s="252"/>
      <c r="E252" s="261"/>
    </row>
    <row r="253" spans="1:5">
      <c r="A253" s="780" t="s">
        <v>639</v>
      </c>
      <c r="B253" s="254" t="s">
        <v>649</v>
      </c>
      <c r="C253" s="780"/>
      <c r="D253" s="256" t="s">
        <v>192</v>
      </c>
      <c r="E253" s="793">
        <v>30000</v>
      </c>
    </row>
    <row r="254" spans="1:5">
      <c r="A254" s="781"/>
      <c r="B254" s="254"/>
      <c r="C254" s="781"/>
      <c r="D254" s="256" t="s">
        <v>57</v>
      </c>
      <c r="E254" s="795"/>
    </row>
    <row r="255" spans="1:5" ht="13.5" thickBot="1">
      <c r="A255" s="782"/>
      <c r="B255" s="255" t="s">
        <v>695</v>
      </c>
      <c r="C255" s="782"/>
      <c r="D255" s="252"/>
      <c r="E255" s="794"/>
    </row>
    <row r="256" spans="1:5">
      <c r="A256" s="780" t="s">
        <v>639</v>
      </c>
      <c r="B256" s="254" t="s">
        <v>696</v>
      </c>
      <c r="C256" s="780"/>
      <c r="D256" s="256" t="s">
        <v>192</v>
      </c>
      <c r="E256" s="258"/>
    </row>
    <row r="257" spans="1:5">
      <c r="A257" s="781"/>
      <c r="B257" s="254"/>
      <c r="C257" s="781"/>
      <c r="D257" s="256" t="s">
        <v>57</v>
      </c>
      <c r="E257" s="259">
        <v>90000</v>
      </c>
    </row>
    <row r="258" spans="1:5" ht="13.5" thickBot="1">
      <c r="A258" s="782"/>
      <c r="B258" s="255" t="s">
        <v>697</v>
      </c>
      <c r="C258" s="782"/>
      <c r="D258" s="252"/>
      <c r="E258" s="261"/>
    </row>
    <row r="259" spans="1:5">
      <c r="A259" s="780" t="s">
        <v>639</v>
      </c>
      <c r="B259" s="254" t="s">
        <v>698</v>
      </c>
      <c r="C259" s="780"/>
      <c r="D259" s="256" t="s">
        <v>192</v>
      </c>
      <c r="E259" s="793">
        <v>1060000</v>
      </c>
    </row>
    <row r="260" spans="1:5" ht="13.5" thickBot="1">
      <c r="A260" s="782"/>
      <c r="B260" s="255" t="s">
        <v>699</v>
      </c>
      <c r="C260" s="782"/>
      <c r="D260" s="266" t="s">
        <v>57</v>
      </c>
      <c r="E260" s="794"/>
    </row>
    <row r="261" spans="1:5">
      <c r="A261" s="780" t="s">
        <v>637</v>
      </c>
      <c r="B261" s="254" t="s">
        <v>700</v>
      </c>
      <c r="C261" s="780"/>
      <c r="D261" s="256" t="s">
        <v>192</v>
      </c>
      <c r="E261" s="793">
        <v>2087000</v>
      </c>
    </row>
    <row r="262" spans="1:5" ht="13.5" thickBot="1">
      <c r="A262" s="782"/>
      <c r="B262" s="255" t="s">
        <v>701</v>
      </c>
      <c r="C262" s="782"/>
      <c r="D262" s="266" t="s">
        <v>57</v>
      </c>
      <c r="E262" s="794"/>
    </row>
    <row r="263" spans="1:5">
      <c r="A263" s="780" t="s">
        <v>639</v>
      </c>
      <c r="B263" s="254" t="s">
        <v>702</v>
      </c>
      <c r="C263" s="780"/>
      <c r="D263" s="256" t="s">
        <v>192</v>
      </c>
      <c r="E263" s="793">
        <v>65000</v>
      </c>
    </row>
    <row r="264" spans="1:5" ht="13.5" thickBot="1">
      <c r="A264" s="782"/>
      <c r="B264" s="255" t="s">
        <v>703</v>
      </c>
      <c r="C264" s="782"/>
      <c r="D264" s="266" t="s">
        <v>57</v>
      </c>
      <c r="E264" s="794"/>
    </row>
    <row r="265" spans="1:5">
      <c r="A265" s="780" t="s">
        <v>637</v>
      </c>
      <c r="B265" s="254" t="s">
        <v>704</v>
      </c>
      <c r="C265" s="780"/>
      <c r="D265" s="256" t="s">
        <v>192</v>
      </c>
      <c r="E265" s="793">
        <v>2600000</v>
      </c>
    </row>
    <row r="266" spans="1:5" ht="13.5" thickBot="1">
      <c r="A266" s="782"/>
      <c r="B266" s="255" t="s">
        <v>701</v>
      </c>
      <c r="C266" s="782"/>
      <c r="D266" s="266" t="s">
        <v>57</v>
      </c>
      <c r="E266" s="794"/>
    </row>
    <row r="267" spans="1:5" ht="13.5" thickBot="1">
      <c r="A267" s="787" t="s">
        <v>644</v>
      </c>
      <c r="B267" s="788"/>
      <c r="C267" s="788"/>
      <c r="D267" s="789"/>
      <c r="E267" s="262">
        <f>E251+E253+E257+E259+E261+E263+E265</f>
        <v>12264786</v>
      </c>
    </row>
    <row r="268" spans="1:5">
      <c r="A268" s="264"/>
    </row>
    <row r="269" spans="1:5">
      <c r="A269" s="264" t="s">
        <v>194</v>
      </c>
      <c r="B269" s="264" t="s">
        <v>195</v>
      </c>
    </row>
    <row r="270" spans="1:5">
      <c r="A270" s="277"/>
    </row>
    <row r="277" spans="1:5" ht="45" customHeight="1"/>
    <row r="281" spans="1:5">
      <c r="A281" s="553" t="s">
        <v>604</v>
      </c>
      <c r="B281" s="553"/>
      <c r="C281" s="553"/>
      <c r="D281" s="553"/>
      <c r="E281" s="553"/>
    </row>
    <row r="282" spans="1:5">
      <c r="A282" s="553" t="s">
        <v>187</v>
      </c>
      <c r="B282" s="553"/>
      <c r="C282" s="553"/>
      <c r="D282" s="553"/>
      <c r="E282" s="553"/>
    </row>
    <row r="283" spans="1:5">
      <c r="A283" s="166"/>
    </row>
    <row r="284" spans="1:5">
      <c r="A284" s="166" t="s">
        <v>705</v>
      </c>
    </row>
    <row r="285" spans="1:5">
      <c r="A285" s="166" t="s">
        <v>774</v>
      </c>
    </row>
    <row r="286" spans="1:5" ht="13.5" thickBot="1">
      <c r="A286" s="166" t="s">
        <v>775</v>
      </c>
    </row>
    <row r="287" spans="1:5">
      <c r="A287" s="783" t="s">
        <v>188</v>
      </c>
      <c r="B287" s="248" t="s">
        <v>189</v>
      </c>
      <c r="C287" s="783" t="s">
        <v>190</v>
      </c>
      <c r="D287" s="777"/>
      <c r="E287" s="248"/>
    </row>
    <row r="288" spans="1:5">
      <c r="A288" s="784"/>
      <c r="B288" s="249"/>
      <c r="C288" s="784"/>
      <c r="D288" s="778"/>
      <c r="E288" s="249">
        <v>2019</v>
      </c>
    </row>
    <row r="289" spans="1:5" ht="13.5" thickBot="1">
      <c r="A289" s="785"/>
      <c r="B289" s="250" t="s">
        <v>191</v>
      </c>
      <c r="C289" s="785"/>
      <c r="D289" s="779"/>
      <c r="E289" s="252"/>
    </row>
    <row r="290" spans="1:5">
      <c r="A290" s="780" t="s">
        <v>637</v>
      </c>
      <c r="B290" s="254" t="s">
        <v>694</v>
      </c>
      <c r="C290" s="780"/>
      <c r="D290" s="256" t="s">
        <v>192</v>
      </c>
      <c r="E290" s="258"/>
    </row>
    <row r="291" spans="1:5">
      <c r="A291" s="781"/>
      <c r="B291" s="254"/>
      <c r="C291" s="781"/>
      <c r="D291" s="256" t="s">
        <v>57</v>
      </c>
      <c r="E291" s="259">
        <v>943283</v>
      </c>
    </row>
    <row r="292" spans="1:5" ht="13.5" thickBot="1">
      <c r="A292" s="782"/>
      <c r="B292" s="255" t="s">
        <v>648</v>
      </c>
      <c r="C292" s="782"/>
      <c r="D292" s="252"/>
      <c r="E292" s="261"/>
    </row>
    <row r="293" spans="1:5">
      <c r="A293" s="780" t="s">
        <v>637</v>
      </c>
      <c r="B293" s="254" t="s">
        <v>706</v>
      </c>
      <c r="C293" s="780"/>
      <c r="D293" s="256" t="s">
        <v>192</v>
      </c>
      <c r="E293" s="258"/>
    </row>
    <row r="294" spans="1:5" ht="13.5" thickBot="1">
      <c r="A294" s="782"/>
      <c r="B294" s="255" t="s">
        <v>707</v>
      </c>
      <c r="C294" s="782"/>
      <c r="D294" s="266" t="s">
        <v>57</v>
      </c>
      <c r="E294" s="267">
        <v>145000</v>
      </c>
    </row>
    <row r="295" spans="1:5">
      <c r="A295" s="780" t="s">
        <v>637</v>
      </c>
      <c r="B295" s="254" t="s">
        <v>708</v>
      </c>
      <c r="C295" s="780"/>
      <c r="D295" s="256" t="s">
        <v>192</v>
      </c>
      <c r="E295" s="258"/>
    </row>
    <row r="296" spans="1:5" ht="13.5" thickBot="1">
      <c r="A296" s="782"/>
      <c r="B296" s="255" t="s">
        <v>707</v>
      </c>
      <c r="C296" s="782"/>
      <c r="D296" s="266" t="s">
        <v>57</v>
      </c>
      <c r="E296" s="267">
        <v>33000</v>
      </c>
    </row>
    <row r="297" spans="1:5">
      <c r="A297" s="780" t="s">
        <v>639</v>
      </c>
      <c r="B297" s="254" t="s">
        <v>709</v>
      </c>
      <c r="C297" s="780"/>
      <c r="D297" s="256" t="s">
        <v>192</v>
      </c>
      <c r="E297" s="258"/>
    </row>
    <row r="298" spans="1:5" ht="13.5" thickBot="1">
      <c r="A298" s="782"/>
      <c r="B298" s="255" t="s">
        <v>710</v>
      </c>
      <c r="C298" s="782"/>
      <c r="D298" s="266" t="s">
        <v>57</v>
      </c>
      <c r="E298" s="267">
        <v>94000</v>
      </c>
    </row>
    <row r="299" spans="1:5">
      <c r="A299" s="780" t="s">
        <v>637</v>
      </c>
      <c r="B299" s="791" t="s">
        <v>711</v>
      </c>
      <c r="C299" s="780"/>
      <c r="D299" s="256" t="s">
        <v>192</v>
      </c>
      <c r="E299" s="258"/>
    </row>
    <row r="300" spans="1:5" ht="13.5" thickBot="1">
      <c r="A300" s="782"/>
      <c r="B300" s="792"/>
      <c r="C300" s="782"/>
      <c r="D300" s="266" t="s">
        <v>57</v>
      </c>
      <c r="E300" s="267">
        <v>437000</v>
      </c>
    </row>
    <row r="301" spans="1:5">
      <c r="A301" s="780" t="s">
        <v>637</v>
      </c>
      <c r="B301" s="254" t="s">
        <v>712</v>
      </c>
      <c r="C301" s="780"/>
      <c r="D301" s="256" t="s">
        <v>192</v>
      </c>
      <c r="E301" s="258"/>
    </row>
    <row r="302" spans="1:5" ht="13.5" thickBot="1">
      <c r="A302" s="782"/>
      <c r="B302" s="255" t="s">
        <v>713</v>
      </c>
      <c r="C302" s="782"/>
      <c r="D302" s="266" t="s">
        <v>57</v>
      </c>
      <c r="E302" s="267">
        <v>266000</v>
      </c>
    </row>
    <row r="303" spans="1:5" ht="13.5" thickBot="1">
      <c r="A303" s="787" t="s">
        <v>644</v>
      </c>
      <c r="B303" s="788"/>
      <c r="C303" s="788"/>
      <c r="D303" s="789"/>
      <c r="E303" s="262">
        <f>E291+E294+E296+E298+E300+E302</f>
        <v>1918283</v>
      </c>
    </row>
    <row r="304" spans="1:5">
      <c r="A304" s="52"/>
    </row>
    <row r="305" spans="1:2">
      <c r="A305" s="264" t="s">
        <v>194</v>
      </c>
      <c r="B305" s="264" t="s">
        <v>195</v>
      </c>
    </row>
    <row r="323" spans="1:5">
      <c r="A323" s="553" t="s">
        <v>604</v>
      </c>
      <c r="B323" s="553"/>
      <c r="C323" s="553"/>
      <c r="D323" s="553"/>
      <c r="E323" s="553"/>
    </row>
    <row r="324" spans="1:5">
      <c r="A324" s="553" t="s">
        <v>187</v>
      </c>
      <c r="B324" s="553"/>
      <c r="C324" s="553"/>
      <c r="D324" s="553"/>
      <c r="E324" s="553"/>
    </row>
    <row r="325" spans="1:5">
      <c r="A325" s="166"/>
    </row>
    <row r="326" spans="1:5">
      <c r="A326" s="166" t="s">
        <v>714</v>
      </c>
    </row>
    <row r="327" spans="1:5">
      <c r="A327" s="166" t="s">
        <v>776</v>
      </c>
    </row>
    <row r="328" spans="1:5">
      <c r="A328" s="280" t="s">
        <v>777</v>
      </c>
    </row>
    <row r="329" spans="1:5">
      <c r="A329" s="280" t="s">
        <v>778</v>
      </c>
    </row>
    <row r="330" spans="1:5">
      <c r="A330" s="280"/>
    </row>
    <row r="331" spans="1:5" ht="13.5" thickBot="1">
      <c r="A331" s="280"/>
    </row>
    <row r="332" spans="1:5">
      <c r="A332" s="783" t="s">
        <v>188</v>
      </c>
      <c r="B332" s="248" t="s">
        <v>189</v>
      </c>
      <c r="C332" s="783" t="s">
        <v>190</v>
      </c>
      <c r="D332" s="777"/>
      <c r="E332" s="248"/>
    </row>
    <row r="333" spans="1:5">
      <c r="A333" s="784"/>
      <c r="B333" s="249"/>
      <c r="C333" s="784"/>
      <c r="D333" s="778"/>
      <c r="E333" s="249">
        <v>2019</v>
      </c>
    </row>
    <row r="334" spans="1:5" ht="13.5" thickBot="1">
      <c r="A334" s="785"/>
      <c r="B334" s="250" t="s">
        <v>191</v>
      </c>
      <c r="C334" s="785"/>
      <c r="D334" s="779"/>
      <c r="E334" s="252"/>
    </row>
    <row r="335" spans="1:5">
      <c r="A335" s="780" t="s">
        <v>637</v>
      </c>
      <c r="B335" s="254" t="s">
        <v>715</v>
      </c>
      <c r="C335" s="780"/>
      <c r="D335" s="256" t="s">
        <v>192</v>
      </c>
      <c r="E335" s="258"/>
    </row>
    <row r="336" spans="1:5">
      <c r="A336" s="781"/>
      <c r="B336" s="254"/>
      <c r="C336" s="781"/>
      <c r="D336" s="256" t="s">
        <v>57</v>
      </c>
      <c r="E336" s="259">
        <v>8100000</v>
      </c>
    </row>
    <row r="337" spans="1:5" ht="13.5" thickBot="1">
      <c r="A337" s="782"/>
      <c r="B337" s="255" t="s">
        <v>648</v>
      </c>
      <c r="C337" s="782"/>
      <c r="D337" s="252"/>
      <c r="E337" s="261"/>
    </row>
    <row r="338" spans="1:5">
      <c r="A338" s="780" t="s">
        <v>639</v>
      </c>
      <c r="B338" s="791" t="s">
        <v>716</v>
      </c>
      <c r="C338" s="780"/>
      <c r="D338" s="256" t="s">
        <v>192</v>
      </c>
      <c r="E338" s="258"/>
    </row>
    <row r="339" spans="1:5" ht="13.5" thickBot="1">
      <c r="A339" s="782"/>
      <c r="B339" s="792"/>
      <c r="C339" s="782"/>
      <c r="D339" s="266" t="s">
        <v>57</v>
      </c>
      <c r="E339" s="267">
        <v>150000</v>
      </c>
    </row>
    <row r="340" spans="1:5">
      <c r="A340" s="780" t="s">
        <v>639</v>
      </c>
      <c r="B340" s="791" t="s">
        <v>717</v>
      </c>
      <c r="C340" s="780"/>
      <c r="D340" s="256" t="s">
        <v>192</v>
      </c>
      <c r="E340" s="258"/>
    </row>
    <row r="341" spans="1:5" ht="13.5" thickBot="1">
      <c r="A341" s="782"/>
      <c r="B341" s="792"/>
      <c r="C341" s="782"/>
      <c r="D341" s="266" t="s">
        <v>57</v>
      </c>
      <c r="E341" s="267">
        <v>150000</v>
      </c>
    </row>
    <row r="342" spans="1:5">
      <c r="A342" s="780" t="s">
        <v>639</v>
      </c>
      <c r="B342" s="791" t="s">
        <v>718</v>
      </c>
      <c r="C342" s="780"/>
      <c r="D342" s="256" t="s">
        <v>192</v>
      </c>
      <c r="E342" s="258"/>
    </row>
    <row r="343" spans="1:5" ht="13.5" thickBot="1">
      <c r="A343" s="782"/>
      <c r="B343" s="792"/>
      <c r="C343" s="782"/>
      <c r="D343" s="266" t="s">
        <v>57</v>
      </c>
      <c r="E343" s="267">
        <v>100000</v>
      </c>
    </row>
    <row r="344" spans="1:5">
      <c r="A344" s="780" t="s">
        <v>639</v>
      </c>
      <c r="B344" s="791" t="s">
        <v>719</v>
      </c>
      <c r="C344" s="780"/>
      <c r="D344" s="256" t="s">
        <v>192</v>
      </c>
      <c r="E344" s="258"/>
    </row>
    <row r="345" spans="1:5" ht="13.5" thickBot="1">
      <c r="A345" s="782"/>
      <c r="B345" s="792"/>
      <c r="C345" s="782"/>
      <c r="D345" s="266" t="s">
        <v>57</v>
      </c>
      <c r="E345" s="267">
        <v>200000</v>
      </c>
    </row>
    <row r="346" spans="1:5">
      <c r="A346" s="780" t="s">
        <v>639</v>
      </c>
      <c r="B346" s="791" t="s">
        <v>720</v>
      </c>
      <c r="C346" s="780"/>
      <c r="D346" s="256" t="s">
        <v>192</v>
      </c>
      <c r="E346" s="258"/>
    </row>
    <row r="347" spans="1:5" ht="13.5" thickBot="1">
      <c r="A347" s="782"/>
      <c r="B347" s="792"/>
      <c r="C347" s="782"/>
      <c r="D347" s="266" t="s">
        <v>57</v>
      </c>
      <c r="E347" s="267">
        <v>30000</v>
      </c>
    </row>
    <row r="348" spans="1:5">
      <c r="A348" s="780" t="s">
        <v>639</v>
      </c>
      <c r="B348" s="791" t="s">
        <v>721</v>
      </c>
      <c r="C348" s="780"/>
      <c r="D348" s="256" t="s">
        <v>192</v>
      </c>
      <c r="E348" s="258"/>
    </row>
    <row r="349" spans="1:5" ht="13.5" thickBot="1">
      <c r="A349" s="782"/>
      <c r="B349" s="792"/>
      <c r="C349" s="782"/>
      <c r="D349" s="256" t="s">
        <v>57</v>
      </c>
      <c r="E349" s="267">
        <v>100000</v>
      </c>
    </row>
    <row r="350" spans="1:5">
      <c r="A350" s="780" t="s">
        <v>637</v>
      </c>
      <c r="B350" s="791" t="s">
        <v>722</v>
      </c>
      <c r="C350" s="780"/>
      <c r="D350" s="251" t="s">
        <v>192</v>
      </c>
      <c r="E350" s="793">
        <v>60000</v>
      </c>
    </row>
    <row r="351" spans="1:5" ht="13.5" thickBot="1">
      <c r="A351" s="782"/>
      <c r="B351" s="792"/>
      <c r="C351" s="782"/>
      <c r="D351" s="256" t="s">
        <v>57</v>
      </c>
      <c r="E351" s="794"/>
    </row>
    <row r="352" spans="1:5" ht="13.5" thickBot="1">
      <c r="A352" s="787" t="s">
        <v>644</v>
      </c>
      <c r="B352" s="788"/>
      <c r="C352" s="788"/>
      <c r="D352" s="789"/>
      <c r="E352" s="262">
        <f>E336+E339+E341+E343+E345+E347+E349+E350</f>
        <v>8890000</v>
      </c>
    </row>
    <row r="353" spans="1:5">
      <c r="A353" s="264"/>
    </row>
    <row r="354" spans="1:5">
      <c r="A354" s="264" t="s">
        <v>194</v>
      </c>
      <c r="B354" s="264" t="s">
        <v>195</v>
      </c>
    </row>
    <row r="361" spans="1:5" ht="42.75" customHeight="1"/>
    <row r="364" spans="1:5">
      <c r="A364" s="553" t="s">
        <v>723</v>
      </c>
      <c r="B364" s="553"/>
      <c r="C364" s="553"/>
      <c r="D364" s="553"/>
      <c r="E364" s="553"/>
    </row>
    <row r="365" spans="1:5">
      <c r="A365" s="553" t="s">
        <v>187</v>
      </c>
      <c r="B365" s="553"/>
      <c r="C365" s="553"/>
      <c r="D365" s="553"/>
      <c r="E365" s="553"/>
    </row>
    <row r="366" spans="1:5">
      <c r="A366" s="166"/>
    </row>
    <row r="367" spans="1:5">
      <c r="A367" s="166" t="s">
        <v>724</v>
      </c>
    </row>
    <row r="368" spans="1:5">
      <c r="A368" s="166" t="s">
        <v>725</v>
      </c>
    </row>
    <row r="369" spans="1:5" ht="13.5" thickBot="1">
      <c r="A369" s="166"/>
    </row>
    <row r="370" spans="1:5">
      <c r="A370" s="783" t="s">
        <v>188</v>
      </c>
      <c r="B370" s="248" t="s">
        <v>189</v>
      </c>
      <c r="C370" s="783" t="s">
        <v>190</v>
      </c>
      <c r="D370" s="777"/>
      <c r="E370" s="248"/>
    </row>
    <row r="371" spans="1:5">
      <c r="A371" s="784"/>
      <c r="B371" s="249"/>
      <c r="C371" s="784"/>
      <c r="D371" s="778"/>
      <c r="E371" s="249">
        <v>2018</v>
      </c>
    </row>
    <row r="372" spans="1:5" ht="13.5" thickBot="1">
      <c r="A372" s="785"/>
      <c r="B372" s="250" t="s">
        <v>191</v>
      </c>
      <c r="C372" s="785"/>
      <c r="D372" s="779"/>
      <c r="E372" s="252"/>
    </row>
    <row r="373" spans="1:5">
      <c r="A373" s="780" t="s">
        <v>637</v>
      </c>
      <c r="B373" s="254" t="s">
        <v>726</v>
      </c>
      <c r="C373" s="780"/>
      <c r="D373" s="256" t="s">
        <v>192</v>
      </c>
      <c r="E373" s="258"/>
    </row>
    <row r="374" spans="1:5">
      <c r="A374" s="781"/>
      <c r="B374" s="254"/>
      <c r="C374" s="781"/>
      <c r="D374" s="256" t="s">
        <v>57</v>
      </c>
      <c r="E374" s="259">
        <v>360000</v>
      </c>
    </row>
    <row r="375" spans="1:5" ht="13.5" thickBot="1">
      <c r="A375" s="782"/>
      <c r="B375" s="255" t="s">
        <v>648</v>
      </c>
      <c r="C375" s="782"/>
      <c r="D375" s="252"/>
      <c r="E375" s="261"/>
    </row>
    <row r="376" spans="1:5">
      <c r="A376" s="780" t="s">
        <v>639</v>
      </c>
      <c r="B376" s="254" t="s">
        <v>640</v>
      </c>
      <c r="C376" s="780"/>
      <c r="D376" s="256" t="s">
        <v>192</v>
      </c>
      <c r="E376" s="258"/>
    </row>
    <row r="377" spans="1:5">
      <c r="A377" s="781"/>
      <c r="B377" s="254"/>
      <c r="C377" s="781"/>
      <c r="D377" s="256" t="s">
        <v>57</v>
      </c>
      <c r="E377" s="259">
        <v>100000</v>
      </c>
    </row>
    <row r="378" spans="1:5" ht="13.5" thickBot="1">
      <c r="A378" s="782"/>
      <c r="B378" s="255" t="s">
        <v>650</v>
      </c>
      <c r="C378" s="782"/>
      <c r="D378" s="252"/>
      <c r="E378" s="261"/>
    </row>
    <row r="379" spans="1:5">
      <c r="A379" s="780" t="s">
        <v>639</v>
      </c>
      <c r="B379" s="791" t="s">
        <v>727</v>
      </c>
      <c r="C379" s="780"/>
      <c r="D379" s="256" t="s">
        <v>192</v>
      </c>
      <c r="E379" s="793">
        <v>75000</v>
      </c>
    </row>
    <row r="380" spans="1:5" ht="13.5" thickBot="1">
      <c r="A380" s="782"/>
      <c r="B380" s="792"/>
      <c r="C380" s="782"/>
      <c r="D380" s="266" t="s">
        <v>57</v>
      </c>
      <c r="E380" s="794"/>
    </row>
    <row r="381" spans="1:5">
      <c r="A381" s="780" t="s">
        <v>639</v>
      </c>
      <c r="B381" s="791" t="s">
        <v>728</v>
      </c>
      <c r="C381" s="780"/>
      <c r="D381" s="256" t="s">
        <v>192</v>
      </c>
      <c r="E381" s="793">
        <v>30000</v>
      </c>
    </row>
    <row r="382" spans="1:5" ht="13.5" thickBot="1">
      <c r="A382" s="782"/>
      <c r="B382" s="792"/>
      <c r="C382" s="782"/>
      <c r="D382" s="266" t="s">
        <v>57</v>
      </c>
      <c r="E382" s="794"/>
    </row>
    <row r="383" spans="1:5" ht="13.5" thickBot="1">
      <c r="A383" s="787" t="s">
        <v>644</v>
      </c>
      <c r="B383" s="788"/>
      <c r="C383" s="788"/>
      <c r="D383" s="789"/>
      <c r="E383" s="262">
        <f>E374+E377+E379+E381</f>
        <v>565000</v>
      </c>
    </row>
    <row r="384" spans="1:5">
      <c r="A384" s="166"/>
    </row>
    <row r="385" spans="1:2">
      <c r="A385" s="264" t="s">
        <v>194</v>
      </c>
      <c r="B385" s="264" t="s">
        <v>195</v>
      </c>
    </row>
    <row r="405" spans="1:5">
      <c r="A405" s="553" t="s">
        <v>604</v>
      </c>
      <c r="B405" s="553"/>
      <c r="C405" s="553"/>
      <c r="D405" s="553"/>
      <c r="E405" s="553"/>
    </row>
    <row r="406" spans="1:5">
      <c r="A406" s="553" t="s">
        <v>187</v>
      </c>
      <c r="B406" s="553"/>
      <c r="C406" s="553"/>
      <c r="D406" s="553"/>
      <c r="E406" s="553"/>
    </row>
    <row r="407" spans="1:5">
      <c r="A407" s="166"/>
    </row>
    <row r="408" spans="1:5">
      <c r="A408" s="166" t="s">
        <v>729</v>
      </c>
    </row>
    <row r="409" spans="1:5">
      <c r="A409" s="166" t="s">
        <v>730</v>
      </c>
    </row>
    <row r="410" spans="1:5" ht="13.5" thickBot="1">
      <c r="A410" s="166"/>
    </row>
    <row r="411" spans="1:5">
      <c r="A411" s="783" t="s">
        <v>188</v>
      </c>
      <c r="B411" s="248" t="s">
        <v>189</v>
      </c>
      <c r="C411" s="783" t="s">
        <v>190</v>
      </c>
      <c r="D411" s="777"/>
      <c r="E411" s="248"/>
    </row>
    <row r="412" spans="1:5">
      <c r="A412" s="784"/>
      <c r="B412" s="249"/>
      <c r="C412" s="784"/>
      <c r="D412" s="778"/>
      <c r="E412" s="249">
        <v>2019</v>
      </c>
    </row>
    <row r="413" spans="1:5" ht="13.5" thickBot="1">
      <c r="A413" s="785"/>
      <c r="B413" s="250" t="s">
        <v>191</v>
      </c>
      <c r="C413" s="785"/>
      <c r="D413" s="779"/>
      <c r="E413" s="252"/>
    </row>
    <row r="414" spans="1:5">
      <c r="A414" s="780" t="s">
        <v>637</v>
      </c>
      <c r="B414" s="278" t="s">
        <v>731</v>
      </c>
      <c r="C414" s="780"/>
      <c r="D414" s="256" t="s">
        <v>192</v>
      </c>
      <c r="E414" s="258"/>
    </row>
    <row r="415" spans="1:5">
      <c r="A415" s="781"/>
      <c r="B415" s="278"/>
      <c r="C415" s="781"/>
      <c r="D415" s="256" t="s">
        <v>57</v>
      </c>
      <c r="E415" s="259">
        <v>2075544</v>
      </c>
    </row>
    <row r="416" spans="1:5" ht="13.5" thickBot="1">
      <c r="A416" s="782"/>
      <c r="B416" s="279" t="s">
        <v>648</v>
      </c>
      <c r="C416" s="782"/>
      <c r="D416" s="252"/>
      <c r="E416" s="261"/>
    </row>
    <row r="417" spans="1:5">
      <c r="A417" s="780" t="s">
        <v>637</v>
      </c>
      <c r="B417" s="278" t="s">
        <v>732</v>
      </c>
      <c r="C417" s="780"/>
      <c r="D417" s="256" t="s">
        <v>192</v>
      </c>
      <c r="E417" s="258"/>
    </row>
    <row r="418" spans="1:5">
      <c r="A418" s="781"/>
      <c r="B418" s="278"/>
      <c r="C418" s="781"/>
      <c r="D418" s="256" t="s">
        <v>57</v>
      </c>
      <c r="E418" s="259">
        <v>224520</v>
      </c>
    </row>
    <row r="419" spans="1:5" ht="13.5" thickBot="1">
      <c r="A419" s="782"/>
      <c r="B419" s="279" t="s">
        <v>648</v>
      </c>
      <c r="C419" s="782"/>
      <c r="D419" s="252"/>
      <c r="E419" s="260"/>
    </row>
    <row r="420" spans="1:5">
      <c r="A420" s="780" t="s">
        <v>637</v>
      </c>
      <c r="B420" s="278" t="s">
        <v>733</v>
      </c>
      <c r="C420" s="780"/>
      <c r="D420" s="256" t="s">
        <v>192</v>
      </c>
      <c r="E420" s="258"/>
    </row>
    <row r="421" spans="1:5">
      <c r="A421" s="781"/>
      <c r="B421" s="278"/>
      <c r="C421" s="781"/>
      <c r="D421" s="256" t="s">
        <v>57</v>
      </c>
      <c r="E421" s="259">
        <v>5000</v>
      </c>
    </row>
    <row r="422" spans="1:5" ht="13.5" thickBot="1">
      <c r="A422" s="782"/>
      <c r="B422" s="279" t="s">
        <v>648</v>
      </c>
      <c r="C422" s="782"/>
      <c r="D422" s="252"/>
      <c r="E422" s="261"/>
    </row>
    <row r="423" spans="1:5">
      <c r="A423" s="780" t="s">
        <v>639</v>
      </c>
      <c r="B423" s="278" t="s">
        <v>640</v>
      </c>
      <c r="C423" s="780"/>
      <c r="D423" s="256" t="s">
        <v>192</v>
      </c>
      <c r="E423" s="258"/>
    </row>
    <row r="424" spans="1:5">
      <c r="A424" s="781"/>
      <c r="B424" s="278"/>
      <c r="C424" s="781"/>
      <c r="D424" s="256" t="s">
        <v>57</v>
      </c>
      <c r="E424" s="259">
        <v>10000</v>
      </c>
    </row>
    <row r="425" spans="1:5" ht="13.5" thickBot="1">
      <c r="A425" s="782"/>
      <c r="B425" s="279" t="s">
        <v>695</v>
      </c>
      <c r="C425" s="782"/>
      <c r="D425" s="252"/>
      <c r="E425" s="261"/>
    </row>
    <row r="426" spans="1:5">
      <c r="A426" s="780" t="s">
        <v>637</v>
      </c>
      <c r="B426" s="278" t="s">
        <v>734</v>
      </c>
      <c r="C426" s="780"/>
      <c r="D426" s="256" t="s">
        <v>192</v>
      </c>
      <c r="E426" s="258"/>
    </row>
    <row r="427" spans="1:5">
      <c r="A427" s="781"/>
      <c r="B427" s="278"/>
      <c r="C427" s="781"/>
      <c r="D427" s="256" t="s">
        <v>57</v>
      </c>
      <c r="E427" s="259">
        <v>635838</v>
      </c>
    </row>
    <row r="428" spans="1:5" ht="13.5" thickBot="1">
      <c r="A428" s="782"/>
      <c r="B428" s="279" t="s">
        <v>648</v>
      </c>
      <c r="C428" s="782"/>
      <c r="D428" s="252"/>
      <c r="E428" s="261"/>
    </row>
    <row r="429" spans="1:5">
      <c r="A429" s="780" t="s">
        <v>637</v>
      </c>
      <c r="B429" s="278" t="s">
        <v>735</v>
      </c>
      <c r="C429" s="780"/>
      <c r="D429" s="256" t="s">
        <v>192</v>
      </c>
      <c r="E429" s="258"/>
    </row>
    <row r="430" spans="1:5">
      <c r="A430" s="781"/>
      <c r="B430" s="278"/>
      <c r="C430" s="781"/>
      <c r="D430" s="256" t="s">
        <v>57</v>
      </c>
      <c r="E430" s="259">
        <v>216000</v>
      </c>
    </row>
    <row r="431" spans="1:5" ht="13.5" thickBot="1">
      <c r="A431" s="782"/>
      <c r="B431" s="279" t="s">
        <v>648</v>
      </c>
      <c r="C431" s="782"/>
      <c r="D431" s="252"/>
      <c r="E431" s="261"/>
    </row>
    <row r="432" spans="1:5" ht="13.5" thickBot="1">
      <c r="A432" s="787" t="s">
        <v>644</v>
      </c>
      <c r="B432" s="788"/>
      <c r="C432" s="788"/>
      <c r="D432" s="789"/>
      <c r="E432" s="262">
        <v>3166902</v>
      </c>
    </row>
    <row r="433" spans="1:5">
      <c r="A433" s="264"/>
    </row>
    <row r="434" spans="1:5">
      <c r="A434" s="264" t="s">
        <v>194</v>
      </c>
      <c r="B434" s="264" t="s">
        <v>195</v>
      </c>
    </row>
    <row r="443" spans="1:5" ht="32.25" customHeight="1"/>
    <row r="445" spans="1:5">
      <c r="A445" s="553" t="s">
        <v>736</v>
      </c>
      <c r="B445" s="553"/>
      <c r="C445" s="553"/>
      <c r="D445" s="553"/>
      <c r="E445" s="553"/>
    </row>
    <row r="446" spans="1:5">
      <c r="A446" s="553" t="s">
        <v>187</v>
      </c>
      <c r="B446" s="553"/>
      <c r="C446" s="553"/>
      <c r="D446" s="553"/>
      <c r="E446" s="553"/>
    </row>
    <row r="447" spans="1:5">
      <c r="A447" s="166"/>
    </row>
    <row r="448" spans="1:5">
      <c r="A448" s="166" t="s">
        <v>737</v>
      </c>
    </row>
    <row r="449" spans="1:5">
      <c r="A449" s="166" t="s">
        <v>738</v>
      </c>
    </row>
    <row r="450" spans="1:5" ht="13.5" thickBot="1">
      <c r="A450" s="166"/>
    </row>
    <row r="451" spans="1:5">
      <c r="A451" s="783" t="s">
        <v>188</v>
      </c>
      <c r="B451" s="248" t="s">
        <v>189</v>
      </c>
      <c r="C451" s="783" t="s">
        <v>190</v>
      </c>
      <c r="D451" s="777"/>
      <c r="E451" s="248"/>
    </row>
    <row r="452" spans="1:5">
      <c r="A452" s="784"/>
      <c r="B452" s="249"/>
      <c r="C452" s="784"/>
      <c r="D452" s="778"/>
      <c r="E452" s="249">
        <v>2019</v>
      </c>
    </row>
    <row r="453" spans="1:5" ht="13.5" thickBot="1">
      <c r="A453" s="785"/>
      <c r="B453" s="250" t="s">
        <v>191</v>
      </c>
      <c r="C453" s="785"/>
      <c r="D453" s="779"/>
      <c r="E453" s="252"/>
    </row>
    <row r="454" spans="1:5">
      <c r="A454" s="780" t="s">
        <v>637</v>
      </c>
      <c r="B454" s="254" t="s">
        <v>647</v>
      </c>
      <c r="C454" s="780"/>
      <c r="D454" s="256" t="s">
        <v>192</v>
      </c>
      <c r="E454" s="258"/>
    </row>
    <row r="455" spans="1:5">
      <c r="A455" s="781"/>
      <c r="B455" s="254"/>
      <c r="C455" s="781"/>
      <c r="D455" s="256" t="s">
        <v>57</v>
      </c>
      <c r="E455" s="259">
        <v>100000</v>
      </c>
    </row>
    <row r="456" spans="1:5" ht="13.5" thickBot="1">
      <c r="A456" s="782"/>
      <c r="B456" s="255" t="s">
        <v>648</v>
      </c>
      <c r="C456" s="782"/>
      <c r="D456" s="252"/>
      <c r="E456" s="261"/>
    </row>
    <row r="457" spans="1:5">
      <c r="A457" s="780" t="s">
        <v>639</v>
      </c>
      <c r="B457" s="254" t="s">
        <v>739</v>
      </c>
      <c r="C457" s="780"/>
      <c r="D457" s="256" t="s">
        <v>192</v>
      </c>
      <c r="E457" s="258"/>
    </row>
    <row r="458" spans="1:5">
      <c r="A458" s="781"/>
      <c r="B458" s="254"/>
      <c r="C458" s="781"/>
      <c r="D458" s="256" t="s">
        <v>57</v>
      </c>
      <c r="E458" s="259">
        <v>200000</v>
      </c>
    </row>
    <row r="459" spans="1:5" ht="13.5" thickBot="1">
      <c r="A459" s="782"/>
      <c r="B459" s="255" t="s">
        <v>740</v>
      </c>
      <c r="C459" s="782"/>
      <c r="D459" s="252"/>
      <c r="E459" s="261"/>
    </row>
    <row r="460" spans="1:5">
      <c r="A460" s="780" t="s">
        <v>639</v>
      </c>
      <c r="B460" s="791" t="s">
        <v>741</v>
      </c>
      <c r="C460" s="780"/>
      <c r="D460" s="256" t="s">
        <v>192</v>
      </c>
      <c r="E460" s="258"/>
    </row>
    <row r="461" spans="1:5" ht="13.5" thickBot="1">
      <c r="A461" s="782"/>
      <c r="B461" s="792"/>
      <c r="C461" s="782"/>
      <c r="D461" s="266" t="s">
        <v>57</v>
      </c>
      <c r="E461" s="267">
        <v>5000</v>
      </c>
    </row>
    <row r="462" spans="1:5">
      <c r="A462" s="780" t="s">
        <v>639</v>
      </c>
      <c r="B462" s="791" t="s">
        <v>742</v>
      </c>
      <c r="C462" s="780"/>
      <c r="D462" s="256" t="s">
        <v>192</v>
      </c>
      <c r="E462" s="793">
        <v>20000</v>
      </c>
    </row>
    <row r="463" spans="1:5" ht="13.5" thickBot="1">
      <c r="A463" s="782"/>
      <c r="B463" s="792"/>
      <c r="C463" s="782"/>
      <c r="D463" s="266" t="s">
        <v>57</v>
      </c>
      <c r="E463" s="794"/>
    </row>
    <row r="464" spans="1:5" ht="13.5" thickBot="1">
      <c r="A464" s="787" t="s">
        <v>644</v>
      </c>
      <c r="B464" s="788"/>
      <c r="C464" s="788"/>
      <c r="D464" s="789"/>
      <c r="E464" s="262">
        <f>E455+E458+E461+E462</f>
        <v>325000</v>
      </c>
    </row>
    <row r="465" spans="1:2">
      <c r="A465" s="264"/>
    </row>
    <row r="466" spans="1:2">
      <c r="A466" s="264" t="s">
        <v>194</v>
      </c>
      <c r="B466" s="264" t="s">
        <v>195</v>
      </c>
    </row>
    <row r="467" spans="1:2">
      <c r="A467" s="166"/>
    </row>
    <row r="485" spans="1:5">
      <c r="A485" s="553" t="s">
        <v>604</v>
      </c>
      <c r="B485" s="553"/>
      <c r="C485" s="553"/>
      <c r="D485" s="553"/>
      <c r="E485" s="553"/>
    </row>
    <row r="486" spans="1:5">
      <c r="A486" s="553" t="s">
        <v>187</v>
      </c>
      <c r="B486" s="553"/>
      <c r="C486" s="553"/>
      <c r="D486" s="553"/>
      <c r="E486" s="553"/>
    </row>
    <row r="487" spans="1:5">
      <c r="A487" s="166"/>
    </row>
    <row r="488" spans="1:5">
      <c r="A488" s="166" t="s">
        <v>743</v>
      </c>
    </row>
    <row r="489" spans="1:5">
      <c r="A489" s="166" t="s">
        <v>779</v>
      </c>
    </row>
    <row r="490" spans="1:5" ht="13.5" thickBot="1">
      <c r="A490" s="166" t="s">
        <v>780</v>
      </c>
    </row>
    <row r="491" spans="1:5">
      <c r="A491" s="783" t="s">
        <v>188</v>
      </c>
      <c r="B491" s="248" t="s">
        <v>189</v>
      </c>
      <c r="C491" s="783" t="s">
        <v>190</v>
      </c>
      <c r="D491" s="777"/>
      <c r="E491" s="248"/>
    </row>
    <row r="492" spans="1:5">
      <c r="A492" s="784"/>
      <c r="B492" s="249"/>
      <c r="C492" s="784"/>
      <c r="D492" s="778"/>
      <c r="E492" s="249">
        <v>2019</v>
      </c>
    </row>
    <row r="493" spans="1:5" ht="13.5" thickBot="1">
      <c r="A493" s="785"/>
      <c r="B493" s="250" t="s">
        <v>191</v>
      </c>
      <c r="C493" s="785"/>
      <c r="D493" s="779"/>
      <c r="E493" s="252"/>
    </row>
    <row r="494" spans="1:5">
      <c r="A494" s="780" t="s">
        <v>637</v>
      </c>
      <c r="B494" s="254" t="s">
        <v>744</v>
      </c>
      <c r="C494" s="780"/>
      <c r="D494" s="256" t="s">
        <v>192</v>
      </c>
      <c r="E494" s="258"/>
    </row>
    <row r="495" spans="1:5">
      <c r="A495" s="781"/>
      <c r="B495" s="254"/>
      <c r="C495" s="781"/>
      <c r="D495" s="256" t="s">
        <v>57</v>
      </c>
      <c r="E495" s="259">
        <v>2100000</v>
      </c>
    </row>
    <row r="496" spans="1:5" ht="13.5" thickBot="1">
      <c r="A496" s="782"/>
      <c r="B496" s="255" t="s">
        <v>648</v>
      </c>
      <c r="C496" s="782"/>
      <c r="D496" s="252"/>
      <c r="E496" s="261"/>
    </row>
    <row r="497" spans="1:5" ht="25.5">
      <c r="A497" s="780" t="s">
        <v>637</v>
      </c>
      <c r="B497" s="254" t="s">
        <v>745</v>
      </c>
      <c r="C497" s="780"/>
      <c r="D497" s="256" t="s">
        <v>192</v>
      </c>
      <c r="E497" s="258"/>
    </row>
    <row r="498" spans="1:5">
      <c r="A498" s="781"/>
      <c r="B498" s="254"/>
      <c r="C498" s="781"/>
      <c r="D498" s="256" t="s">
        <v>57</v>
      </c>
      <c r="E498" s="259">
        <v>2300000</v>
      </c>
    </row>
    <row r="499" spans="1:5" ht="13.5" thickBot="1">
      <c r="A499" s="782"/>
      <c r="B499" s="255" t="s">
        <v>648</v>
      </c>
      <c r="C499" s="782"/>
      <c r="D499" s="252"/>
      <c r="E499" s="261"/>
    </row>
    <row r="500" spans="1:5">
      <c r="A500" s="780"/>
      <c r="B500" s="791" t="s">
        <v>746</v>
      </c>
      <c r="C500" s="780"/>
      <c r="D500" s="256" t="s">
        <v>192</v>
      </c>
      <c r="E500" s="258"/>
    </row>
    <row r="501" spans="1:5" ht="13.5" thickBot="1">
      <c r="A501" s="782"/>
      <c r="B501" s="792"/>
      <c r="C501" s="782"/>
      <c r="D501" s="266" t="s">
        <v>57</v>
      </c>
      <c r="E501" s="267">
        <v>500000</v>
      </c>
    </row>
    <row r="502" spans="1:5" ht="13.5" thickBot="1">
      <c r="A502" s="787" t="s">
        <v>644</v>
      </c>
      <c r="B502" s="788"/>
      <c r="C502" s="788"/>
      <c r="D502" s="789"/>
      <c r="E502" s="262">
        <f>E495+E498+E501</f>
        <v>4900000</v>
      </c>
    </row>
    <row r="503" spans="1:5">
      <c r="A503" s="264"/>
    </row>
    <row r="504" spans="1:5">
      <c r="A504" s="264" t="s">
        <v>194</v>
      </c>
      <c r="B504" s="264" t="s">
        <v>195</v>
      </c>
    </row>
    <row r="520" spans="1:6">
      <c r="A520" s="553"/>
      <c r="B520" s="553"/>
      <c r="C520" s="553"/>
      <c r="D520" s="553"/>
      <c r="E520" s="553"/>
    </row>
    <row r="521" spans="1:6">
      <c r="A521" s="553"/>
      <c r="B521" s="553"/>
      <c r="C521" s="553"/>
      <c r="D521" s="553"/>
      <c r="E521" s="553"/>
    </row>
    <row r="522" spans="1:6">
      <c r="A522" s="464"/>
      <c r="B522" s="464"/>
      <c r="C522" s="464"/>
      <c r="D522" s="464"/>
      <c r="E522" s="464"/>
    </row>
    <row r="523" spans="1:6">
      <c r="A523" s="464"/>
      <c r="B523" s="553" t="s">
        <v>604</v>
      </c>
      <c r="C523" s="553"/>
      <c r="D523" s="553"/>
      <c r="E523" s="553"/>
      <c r="F523" s="553"/>
    </row>
    <row r="524" spans="1:6">
      <c r="A524" s="464"/>
      <c r="B524" s="553" t="s">
        <v>812</v>
      </c>
      <c r="C524" s="553"/>
      <c r="D524" s="553"/>
      <c r="E524" s="553"/>
    </row>
    <row r="525" spans="1:6">
      <c r="A525" s="464"/>
      <c r="B525" s="464"/>
      <c r="C525" s="464"/>
      <c r="D525" s="464"/>
      <c r="E525" s="464"/>
    </row>
    <row r="526" spans="1:6">
      <c r="A526" s="166"/>
    </row>
    <row r="527" spans="1:6">
      <c r="A527" s="166" t="s">
        <v>747</v>
      </c>
    </row>
    <row r="528" spans="1:6" ht="13.5" thickBot="1">
      <c r="A528" s="166" t="s">
        <v>748</v>
      </c>
    </row>
    <row r="529" spans="1:5">
      <c r="A529" s="783" t="s">
        <v>188</v>
      </c>
      <c r="B529" s="248" t="s">
        <v>189</v>
      </c>
      <c r="C529" s="783" t="s">
        <v>190</v>
      </c>
      <c r="D529" s="777"/>
      <c r="E529" s="248"/>
    </row>
    <row r="530" spans="1:5">
      <c r="A530" s="784"/>
      <c r="B530" s="249"/>
      <c r="C530" s="784"/>
      <c r="D530" s="778"/>
      <c r="E530" s="249">
        <v>2019</v>
      </c>
    </row>
    <row r="531" spans="1:5" ht="13.5" thickBot="1">
      <c r="A531" s="785"/>
      <c r="B531" s="250" t="s">
        <v>191</v>
      </c>
      <c r="C531" s="785"/>
      <c r="D531" s="779"/>
      <c r="E531" s="252"/>
    </row>
    <row r="532" spans="1:5">
      <c r="A532" s="780" t="s">
        <v>637</v>
      </c>
      <c r="B532" s="254" t="s">
        <v>749</v>
      </c>
      <c r="C532" s="780"/>
      <c r="D532" s="256" t="s">
        <v>192</v>
      </c>
      <c r="E532" s="258"/>
    </row>
    <row r="533" spans="1:5">
      <c r="A533" s="781"/>
      <c r="B533" s="254"/>
      <c r="C533" s="781"/>
      <c r="D533" s="256" t="s">
        <v>57</v>
      </c>
      <c r="E533" s="259">
        <v>520000</v>
      </c>
    </row>
    <row r="534" spans="1:5" ht="13.5" thickBot="1">
      <c r="A534" s="782"/>
      <c r="B534" s="255" t="s">
        <v>648</v>
      </c>
      <c r="C534" s="782"/>
      <c r="D534" s="252"/>
      <c r="E534" s="261"/>
    </row>
    <row r="535" spans="1:5">
      <c r="A535" s="780" t="s">
        <v>639</v>
      </c>
      <c r="B535" s="254" t="s">
        <v>750</v>
      </c>
      <c r="C535" s="780"/>
      <c r="D535" s="256" t="s">
        <v>192</v>
      </c>
      <c r="E535" s="258"/>
    </row>
    <row r="536" spans="1:5">
      <c r="A536" s="781"/>
      <c r="B536" s="254"/>
      <c r="C536" s="781"/>
      <c r="D536" s="256" t="s">
        <v>57</v>
      </c>
      <c r="E536" s="259">
        <v>120000</v>
      </c>
    </row>
    <row r="537" spans="1:5" ht="13.5" thickBot="1">
      <c r="A537" s="782"/>
      <c r="B537" s="255" t="s">
        <v>751</v>
      </c>
      <c r="C537" s="782"/>
      <c r="D537" s="252"/>
      <c r="E537" s="261"/>
    </row>
    <row r="538" spans="1:5">
      <c r="A538" s="780" t="s">
        <v>637</v>
      </c>
      <c r="B538" s="254" t="s">
        <v>752</v>
      </c>
      <c r="C538" s="780"/>
      <c r="D538" s="256" t="s">
        <v>192</v>
      </c>
      <c r="E538" s="258"/>
    </row>
    <row r="539" spans="1:5">
      <c r="A539" s="781"/>
      <c r="B539" s="254"/>
      <c r="C539" s="781"/>
      <c r="D539" s="256" t="s">
        <v>57</v>
      </c>
      <c r="E539" s="259">
        <v>200000</v>
      </c>
    </row>
    <row r="540" spans="1:5" ht="13.5" thickBot="1">
      <c r="A540" s="782"/>
      <c r="B540" s="255" t="s">
        <v>753</v>
      </c>
      <c r="C540" s="782"/>
      <c r="D540" s="252"/>
      <c r="E540" s="261"/>
    </row>
    <row r="541" spans="1:5" ht="25.5">
      <c r="A541" s="780" t="s">
        <v>637</v>
      </c>
      <c r="B541" s="254" t="s">
        <v>754</v>
      </c>
      <c r="C541" s="780"/>
      <c r="D541" s="256" t="s">
        <v>192</v>
      </c>
      <c r="E541" s="258"/>
    </row>
    <row r="542" spans="1:5">
      <c r="A542" s="781"/>
      <c r="B542" s="254"/>
      <c r="C542" s="781"/>
      <c r="D542" s="256" t="s">
        <v>57</v>
      </c>
      <c r="E542" s="259">
        <v>80000</v>
      </c>
    </row>
    <row r="543" spans="1:5" ht="13.5" thickBot="1">
      <c r="A543" s="782"/>
      <c r="B543" s="255" t="s">
        <v>755</v>
      </c>
      <c r="C543" s="782"/>
      <c r="D543" s="252"/>
      <c r="E543" s="261"/>
    </row>
    <row r="544" spans="1:5">
      <c r="A544" s="780" t="s">
        <v>639</v>
      </c>
      <c r="B544" s="254" t="s">
        <v>756</v>
      </c>
      <c r="C544" s="780"/>
      <c r="D544" s="256" t="s">
        <v>192</v>
      </c>
      <c r="E544" s="258"/>
    </row>
    <row r="545" spans="1:5">
      <c r="A545" s="781"/>
      <c r="B545" s="254"/>
      <c r="C545" s="781"/>
      <c r="D545" s="256" t="s">
        <v>57</v>
      </c>
      <c r="E545" s="259">
        <v>25000</v>
      </c>
    </row>
    <row r="546" spans="1:5" ht="13.5" thickBot="1">
      <c r="A546" s="782"/>
      <c r="B546" s="255" t="s">
        <v>757</v>
      </c>
      <c r="C546" s="782"/>
      <c r="D546" s="252"/>
      <c r="E546" s="261"/>
    </row>
    <row r="547" spans="1:5">
      <c r="A547" s="780" t="s">
        <v>639</v>
      </c>
      <c r="B547" s="791" t="s">
        <v>758</v>
      </c>
      <c r="C547" s="780"/>
      <c r="D547" s="256" t="s">
        <v>192</v>
      </c>
      <c r="E547" s="793"/>
    </row>
    <row r="548" spans="1:5" ht="13.5" thickBot="1">
      <c r="A548" s="782"/>
      <c r="B548" s="792"/>
      <c r="C548" s="782"/>
      <c r="D548" s="266" t="s">
        <v>57</v>
      </c>
      <c r="E548" s="794"/>
    </row>
    <row r="549" spans="1:5">
      <c r="A549" s="780" t="s">
        <v>639</v>
      </c>
      <c r="B549" s="791" t="s">
        <v>759</v>
      </c>
      <c r="C549" s="780"/>
      <c r="D549" s="256" t="s">
        <v>192</v>
      </c>
      <c r="E549" s="258"/>
    </row>
    <row r="550" spans="1:5" ht="13.5" thickBot="1">
      <c r="A550" s="782"/>
      <c r="B550" s="792"/>
      <c r="C550" s="782"/>
      <c r="D550" s="266" t="s">
        <v>57</v>
      </c>
      <c r="E550" s="267">
        <v>30000</v>
      </c>
    </row>
    <row r="551" spans="1:5">
      <c r="A551" s="780" t="s">
        <v>639</v>
      </c>
      <c r="B551" s="791" t="s">
        <v>760</v>
      </c>
      <c r="C551" s="780"/>
      <c r="D551" s="256" t="s">
        <v>192</v>
      </c>
      <c r="E551" s="258"/>
    </row>
    <row r="552" spans="1:5" ht="13.5" thickBot="1">
      <c r="A552" s="782"/>
      <c r="B552" s="792"/>
      <c r="C552" s="782"/>
      <c r="D552" s="266" t="s">
        <v>57</v>
      </c>
      <c r="E552" s="267">
        <v>100000</v>
      </c>
    </row>
    <row r="553" spans="1:5" ht="13.5" thickBot="1">
      <c r="A553" s="787" t="s">
        <v>644</v>
      </c>
      <c r="B553" s="788"/>
      <c r="C553" s="788"/>
      <c r="D553" s="789"/>
      <c r="E553" s="262">
        <f xml:space="preserve"> E533+E536+E539+E542+E545+E547+E550+E552</f>
        <v>1075000</v>
      </c>
    </row>
    <row r="554" spans="1:5">
      <c r="A554" s="264"/>
    </row>
    <row r="555" spans="1:5">
      <c r="A555" s="264" t="s">
        <v>194</v>
      </c>
      <c r="B555" s="264" t="s">
        <v>195</v>
      </c>
    </row>
  </sheetData>
  <mergeCells count="287">
    <mergeCell ref="C44:C46"/>
    <mergeCell ref="C47:C49"/>
    <mergeCell ref="C50:C52"/>
    <mergeCell ref="D44:D46"/>
    <mergeCell ref="A90:A92"/>
    <mergeCell ref="C90:C92"/>
    <mergeCell ref="D90:D92"/>
    <mergeCell ref="A85:H85"/>
    <mergeCell ref="A84:E84"/>
    <mergeCell ref="A44:A46"/>
    <mergeCell ref="A136:A138"/>
    <mergeCell ref="C136:C138"/>
    <mergeCell ref="A139:A140"/>
    <mergeCell ref="B139:B140"/>
    <mergeCell ref="C139:C140"/>
    <mergeCell ref="A141:A142"/>
    <mergeCell ref="B141:B142"/>
    <mergeCell ref="C141:C142"/>
    <mergeCell ref="A38:I40"/>
    <mergeCell ref="A96:A97"/>
    <mergeCell ref="B96:B97"/>
    <mergeCell ref="C96:C97"/>
    <mergeCell ref="A98:D98"/>
    <mergeCell ref="A133:A135"/>
    <mergeCell ref="C133:C135"/>
    <mergeCell ref="D133:D135"/>
    <mergeCell ref="A127:E127"/>
    <mergeCell ref="A128:E128"/>
    <mergeCell ref="A47:A49"/>
    <mergeCell ref="A50:A52"/>
    <mergeCell ref="C53:C54"/>
    <mergeCell ref="A55:D55"/>
    <mergeCell ref="A93:A95"/>
    <mergeCell ref="C93:C95"/>
    <mergeCell ref="A147:D147"/>
    <mergeCell ref="A178:A180"/>
    <mergeCell ref="C178:C180"/>
    <mergeCell ref="D178:D180"/>
    <mergeCell ref="A181:A183"/>
    <mergeCell ref="C181:C183"/>
    <mergeCell ref="A169:E169"/>
    <mergeCell ref="A170:E170"/>
    <mergeCell ref="A143:A144"/>
    <mergeCell ref="B143:B144"/>
    <mergeCell ref="C143:C144"/>
    <mergeCell ref="A145:A146"/>
    <mergeCell ref="B145:B146"/>
    <mergeCell ref="C145:C146"/>
    <mergeCell ref="A192:A193"/>
    <mergeCell ref="C192:C193"/>
    <mergeCell ref="A194:A195"/>
    <mergeCell ref="C194:C195"/>
    <mergeCell ref="A196:A197"/>
    <mergeCell ref="C196:C197"/>
    <mergeCell ref="A184:A185"/>
    <mergeCell ref="C184:C185"/>
    <mergeCell ref="A186:A188"/>
    <mergeCell ref="C186:C188"/>
    <mergeCell ref="A189:A191"/>
    <mergeCell ref="C189:C191"/>
    <mergeCell ref="A207:A208"/>
    <mergeCell ref="C207:C208"/>
    <mergeCell ref="A209:A210"/>
    <mergeCell ref="C209:C210"/>
    <mergeCell ref="A211:A212"/>
    <mergeCell ref="C211:C212"/>
    <mergeCell ref="A198:A199"/>
    <mergeCell ref="C198:C199"/>
    <mergeCell ref="E198:E199"/>
    <mergeCell ref="A200:A202"/>
    <mergeCell ref="C200:C202"/>
    <mergeCell ref="A205:A206"/>
    <mergeCell ref="C205:C206"/>
    <mergeCell ref="A219:A220"/>
    <mergeCell ref="C219:C220"/>
    <mergeCell ref="A221:A222"/>
    <mergeCell ref="C221:C222"/>
    <mergeCell ref="A223:A224"/>
    <mergeCell ref="C223:C224"/>
    <mergeCell ref="A213:A214"/>
    <mergeCell ref="C213:C214"/>
    <mergeCell ref="A215:A216"/>
    <mergeCell ref="C215:C216"/>
    <mergeCell ref="A217:A218"/>
    <mergeCell ref="C217:C218"/>
    <mergeCell ref="E223:E224"/>
    <mergeCell ref="A225:D225"/>
    <mergeCell ref="A247:A249"/>
    <mergeCell ref="C247:C249"/>
    <mergeCell ref="D247:D249"/>
    <mergeCell ref="A250:A252"/>
    <mergeCell ref="C250:C252"/>
    <mergeCell ref="A240:E240"/>
    <mergeCell ref="A241:E241"/>
    <mergeCell ref="A261:A262"/>
    <mergeCell ref="C261:C262"/>
    <mergeCell ref="E261:E262"/>
    <mergeCell ref="A263:A264"/>
    <mergeCell ref="C263:C264"/>
    <mergeCell ref="E263:E264"/>
    <mergeCell ref="A253:A255"/>
    <mergeCell ref="C253:C255"/>
    <mergeCell ref="E253:E255"/>
    <mergeCell ref="A256:A258"/>
    <mergeCell ref="C256:C258"/>
    <mergeCell ref="A259:A260"/>
    <mergeCell ref="C259:C260"/>
    <mergeCell ref="E259:E260"/>
    <mergeCell ref="A265:A266"/>
    <mergeCell ref="C265:C266"/>
    <mergeCell ref="E265:E266"/>
    <mergeCell ref="A267:D267"/>
    <mergeCell ref="A287:A289"/>
    <mergeCell ref="C287:C289"/>
    <mergeCell ref="D287:D289"/>
    <mergeCell ref="A281:E281"/>
    <mergeCell ref="A282:E282"/>
    <mergeCell ref="A297:A298"/>
    <mergeCell ref="C297:C298"/>
    <mergeCell ref="A299:A300"/>
    <mergeCell ref="B299:B300"/>
    <mergeCell ref="C299:C300"/>
    <mergeCell ref="A301:A302"/>
    <mergeCell ref="C301:C302"/>
    <mergeCell ref="A290:A292"/>
    <mergeCell ref="C290:C292"/>
    <mergeCell ref="A293:A294"/>
    <mergeCell ref="C293:C294"/>
    <mergeCell ref="A295:A296"/>
    <mergeCell ref="C295:C296"/>
    <mergeCell ref="A338:A339"/>
    <mergeCell ref="B338:B339"/>
    <mergeCell ref="C338:C339"/>
    <mergeCell ref="A340:A341"/>
    <mergeCell ref="B340:B341"/>
    <mergeCell ref="C340:C341"/>
    <mergeCell ref="A303:D303"/>
    <mergeCell ref="A332:A334"/>
    <mergeCell ref="C332:C334"/>
    <mergeCell ref="D332:D334"/>
    <mergeCell ref="A335:A337"/>
    <mergeCell ref="C335:C337"/>
    <mergeCell ref="A323:E323"/>
    <mergeCell ref="A324:E324"/>
    <mergeCell ref="A346:A347"/>
    <mergeCell ref="B346:B347"/>
    <mergeCell ref="C346:C347"/>
    <mergeCell ref="A348:A349"/>
    <mergeCell ref="B348:B349"/>
    <mergeCell ref="C348:C349"/>
    <mergeCell ref="A342:A343"/>
    <mergeCell ref="B342:B343"/>
    <mergeCell ref="C342:C343"/>
    <mergeCell ref="A344:A345"/>
    <mergeCell ref="B344:B345"/>
    <mergeCell ref="C344:C345"/>
    <mergeCell ref="A350:A351"/>
    <mergeCell ref="B350:B351"/>
    <mergeCell ref="C350:C351"/>
    <mergeCell ref="E350:E351"/>
    <mergeCell ref="A352:D352"/>
    <mergeCell ref="A370:A372"/>
    <mergeCell ref="C370:C372"/>
    <mergeCell ref="D370:D372"/>
    <mergeCell ref="A364:E364"/>
    <mergeCell ref="A365:E365"/>
    <mergeCell ref="E379:E380"/>
    <mergeCell ref="A381:A382"/>
    <mergeCell ref="B381:B382"/>
    <mergeCell ref="C381:C382"/>
    <mergeCell ref="E381:E382"/>
    <mergeCell ref="A383:D383"/>
    <mergeCell ref="A373:A375"/>
    <mergeCell ref="C373:C375"/>
    <mergeCell ref="A376:A378"/>
    <mergeCell ref="C376:C378"/>
    <mergeCell ref="A379:A380"/>
    <mergeCell ref="B379:B380"/>
    <mergeCell ref="C379:C380"/>
    <mergeCell ref="A429:A431"/>
    <mergeCell ref="C429:C431"/>
    <mergeCell ref="A432:D432"/>
    <mergeCell ref="A405:E405"/>
    <mergeCell ref="A406:E406"/>
    <mergeCell ref="A451:A453"/>
    <mergeCell ref="C451:C453"/>
    <mergeCell ref="D451:D453"/>
    <mergeCell ref="A445:E445"/>
    <mergeCell ref="A446:E446"/>
    <mergeCell ref="A420:A422"/>
    <mergeCell ref="C420:C422"/>
    <mergeCell ref="A423:A425"/>
    <mergeCell ref="C423:C425"/>
    <mergeCell ref="A426:A428"/>
    <mergeCell ref="C426:C428"/>
    <mergeCell ref="A411:A413"/>
    <mergeCell ref="C411:C413"/>
    <mergeCell ref="D411:D413"/>
    <mergeCell ref="A414:A416"/>
    <mergeCell ref="C414:C416"/>
    <mergeCell ref="A417:A419"/>
    <mergeCell ref="C417:C419"/>
    <mergeCell ref="E462:E463"/>
    <mergeCell ref="A464:D464"/>
    <mergeCell ref="A491:A493"/>
    <mergeCell ref="C491:C493"/>
    <mergeCell ref="D491:D493"/>
    <mergeCell ref="A485:E485"/>
    <mergeCell ref="A486:E486"/>
    <mergeCell ref="A454:A456"/>
    <mergeCell ref="C454:C456"/>
    <mergeCell ref="A457:A459"/>
    <mergeCell ref="C457:C459"/>
    <mergeCell ref="A460:A461"/>
    <mergeCell ref="B460:B461"/>
    <mergeCell ref="C460:C461"/>
    <mergeCell ref="A494:A496"/>
    <mergeCell ref="C494:C496"/>
    <mergeCell ref="A497:A499"/>
    <mergeCell ref="C497:C499"/>
    <mergeCell ref="A500:A501"/>
    <mergeCell ref="B500:B501"/>
    <mergeCell ref="C500:C501"/>
    <mergeCell ref="A462:A463"/>
    <mergeCell ref="B462:B463"/>
    <mergeCell ref="C462:C463"/>
    <mergeCell ref="C538:C540"/>
    <mergeCell ref="A541:A543"/>
    <mergeCell ref="C541:C543"/>
    <mergeCell ref="A502:D502"/>
    <mergeCell ref="A529:A531"/>
    <mergeCell ref="C529:C531"/>
    <mergeCell ref="D529:D531"/>
    <mergeCell ref="A532:A534"/>
    <mergeCell ref="C532:C534"/>
    <mergeCell ref="A520:E520"/>
    <mergeCell ref="A521:E521"/>
    <mergeCell ref="B523:F523"/>
    <mergeCell ref="B524:E524"/>
    <mergeCell ref="A553:D553"/>
    <mergeCell ref="E32:E33"/>
    <mergeCell ref="A30:A31"/>
    <mergeCell ref="B30:B31"/>
    <mergeCell ref="C30:C31"/>
    <mergeCell ref="E30:E31"/>
    <mergeCell ref="A34:D34"/>
    <mergeCell ref="A32:A33"/>
    <mergeCell ref="B32:B33"/>
    <mergeCell ref="A549:A550"/>
    <mergeCell ref="B549:B550"/>
    <mergeCell ref="C549:C550"/>
    <mergeCell ref="A551:A552"/>
    <mergeCell ref="B551:B552"/>
    <mergeCell ref="C551:C552"/>
    <mergeCell ref="A544:A546"/>
    <mergeCell ref="C544:C546"/>
    <mergeCell ref="A547:A548"/>
    <mergeCell ref="B547:B548"/>
    <mergeCell ref="C547:C548"/>
    <mergeCell ref="E547:E548"/>
    <mergeCell ref="A535:A537"/>
    <mergeCell ref="C535:C537"/>
    <mergeCell ref="A538:A540"/>
    <mergeCell ref="C32:C33"/>
    <mergeCell ref="A26:A27"/>
    <mergeCell ref="B26:B27"/>
    <mergeCell ref="C26:C27"/>
    <mergeCell ref="E26:E27"/>
    <mergeCell ref="A28:A29"/>
    <mergeCell ref="B28:B29"/>
    <mergeCell ref="C28:C29"/>
    <mergeCell ref="E28:E29"/>
    <mergeCell ref="D7:D9"/>
    <mergeCell ref="A1:E3"/>
    <mergeCell ref="A13:A15"/>
    <mergeCell ref="C13:C15"/>
    <mergeCell ref="A10:A12"/>
    <mergeCell ref="C10:C12"/>
    <mergeCell ref="A7:A9"/>
    <mergeCell ref="C7:C9"/>
    <mergeCell ref="A24:A25"/>
    <mergeCell ref="B24:B25"/>
    <mergeCell ref="C24:C25"/>
    <mergeCell ref="E24:E25"/>
    <mergeCell ref="A16:A18"/>
    <mergeCell ref="C16:C18"/>
    <mergeCell ref="A19:D19"/>
  </mergeCells>
  <phoneticPr fontId="25" type="noConversion"/>
  <pageMargins left="0.39370078740157483" right="0.39370078740157483" top="0.39370078740157483" bottom="0.39370078740157483" header="0.19685039370078741" footer="0.19685039370078741"/>
  <pageSetup paperSize="9" orientation="landscape" verticalDpi="0" r:id="rId1"/>
  <headerFooter alignWithMargins="0">
    <oddHeader xml:space="preserve">&amp;C
PREFEITURA MUNICIPAL DE PORTÃO
Centro Administrativo Arthur Pedro Muller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L27" sqref="L27"/>
    </sheetView>
  </sheetViews>
  <sheetFormatPr defaultRowHeight="12.75"/>
  <cols>
    <col min="1" max="1" width="19.7109375" customWidth="1"/>
    <col min="2" max="2" width="19.140625" customWidth="1"/>
    <col min="3" max="3" width="12.28515625" customWidth="1"/>
    <col min="4" max="4" width="14.42578125" customWidth="1"/>
    <col min="5" max="5" width="11.28515625" customWidth="1"/>
    <col min="6" max="6" width="12.42578125" customWidth="1"/>
    <col min="7" max="7" width="10.85546875" customWidth="1"/>
    <col min="8" max="8" width="11.5703125" customWidth="1"/>
    <col min="9" max="9" width="11.140625" customWidth="1"/>
    <col min="10" max="10" width="0.7109375" customWidth="1"/>
    <col min="11" max="11" width="3.7109375" hidden="1" customWidth="1"/>
    <col min="12" max="12" width="13.140625" customWidth="1"/>
  </cols>
  <sheetData>
    <row r="1" spans="1:12">
      <c r="A1" s="804" t="s">
        <v>811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6"/>
    </row>
    <row r="2" spans="1:12" ht="13.5" thickBot="1">
      <c r="A2" s="807"/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9"/>
    </row>
    <row r="3" spans="1:12" ht="15.75">
      <c r="A3" s="804" t="s">
        <v>605</v>
      </c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1"/>
    </row>
    <row r="4" spans="1:12" ht="15.75">
      <c r="A4" s="812" t="s">
        <v>196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4"/>
    </row>
    <row r="5" spans="1:12" ht="16.5" thickBot="1">
      <c r="A5" s="815" t="s">
        <v>197</v>
      </c>
      <c r="B5" s="816"/>
      <c r="C5" s="816"/>
      <c r="D5" s="816"/>
      <c r="E5" s="816"/>
      <c r="F5" s="816"/>
      <c r="G5" s="816"/>
      <c r="H5" s="816"/>
      <c r="I5" s="816"/>
      <c r="J5" s="816"/>
      <c r="K5" s="816"/>
      <c r="L5" s="817"/>
    </row>
    <row r="6" spans="1:12" ht="16.5" thickBot="1">
      <c r="A6" s="823" t="s">
        <v>198</v>
      </c>
      <c r="B6" s="824"/>
      <c r="C6" s="824"/>
      <c r="D6" s="824"/>
      <c r="E6" s="824"/>
      <c r="F6" s="824"/>
      <c r="G6" s="824"/>
      <c r="H6" s="824"/>
      <c r="I6" s="824"/>
      <c r="J6" s="824"/>
      <c r="K6" s="824"/>
      <c r="L6" s="825"/>
    </row>
    <row r="7" spans="1:12" ht="13.5" thickBot="1">
      <c r="A7" s="826"/>
      <c r="B7" s="827"/>
      <c r="C7" s="522"/>
      <c r="D7" s="522"/>
      <c r="E7" s="820" t="s">
        <v>199</v>
      </c>
      <c r="F7" s="821"/>
      <c r="G7" s="822"/>
      <c r="H7" s="820" t="s">
        <v>606</v>
      </c>
      <c r="I7" s="821"/>
      <c r="J7" s="821"/>
      <c r="K7" s="821"/>
      <c r="L7" s="822"/>
    </row>
    <row r="8" spans="1:12" ht="12.75" customHeight="1">
      <c r="A8" s="830" t="s">
        <v>200</v>
      </c>
      <c r="B8" s="831"/>
      <c r="C8" s="818" t="s">
        <v>201</v>
      </c>
      <c r="D8" s="818" t="s">
        <v>202</v>
      </c>
      <c r="E8" s="818" t="s">
        <v>607</v>
      </c>
      <c r="F8" s="818" t="s">
        <v>608</v>
      </c>
      <c r="G8" s="818" t="s">
        <v>609</v>
      </c>
      <c r="H8" s="818" t="s">
        <v>203</v>
      </c>
      <c r="I8" s="818" t="s">
        <v>208</v>
      </c>
      <c r="J8" s="818"/>
      <c r="K8" s="818"/>
      <c r="L8" s="818" t="s">
        <v>204</v>
      </c>
    </row>
    <row r="9" spans="1:12" ht="29.25" customHeight="1" thickBot="1">
      <c r="A9" s="832"/>
      <c r="B9" s="833"/>
      <c r="C9" s="819"/>
      <c r="D9" s="819"/>
      <c r="E9" s="819"/>
      <c r="F9" s="819"/>
      <c r="G9" s="819"/>
      <c r="H9" s="819"/>
      <c r="I9" s="819"/>
      <c r="J9" s="819"/>
      <c r="K9" s="819"/>
      <c r="L9" s="819"/>
    </row>
    <row r="10" spans="1:12" ht="13.5" thickBot="1">
      <c r="A10" s="828"/>
      <c r="B10" s="829"/>
      <c r="C10" s="523"/>
      <c r="D10" s="524"/>
      <c r="E10" s="525"/>
      <c r="F10" s="525"/>
      <c r="G10" s="525"/>
      <c r="H10" s="525"/>
      <c r="I10" s="525"/>
      <c r="J10" s="526"/>
      <c r="K10" s="527"/>
      <c r="L10" s="525"/>
    </row>
    <row r="11" spans="1:12" ht="13.5" thickBot="1">
      <c r="A11" s="828"/>
      <c r="B11" s="829"/>
      <c r="C11" s="528"/>
      <c r="D11" s="529"/>
      <c r="E11" s="525"/>
      <c r="F11" s="525"/>
      <c r="G11" s="525"/>
      <c r="H11" s="525"/>
      <c r="I11" s="525"/>
      <c r="J11" s="530"/>
      <c r="K11" s="527"/>
      <c r="L11" s="525"/>
    </row>
    <row r="12" spans="1:12" ht="13.5" thickBot="1">
      <c r="A12" s="828"/>
      <c r="B12" s="829"/>
      <c r="C12" s="531"/>
      <c r="D12" s="529"/>
      <c r="E12" s="525"/>
      <c r="F12" s="525"/>
      <c r="G12" s="525"/>
      <c r="H12" s="525"/>
      <c r="I12" s="525"/>
      <c r="J12" s="532"/>
      <c r="K12" s="527"/>
      <c r="L12" s="525"/>
    </row>
    <row r="13" spans="1:12" ht="13.5" thickBot="1">
      <c r="A13" s="828"/>
      <c r="B13" s="829"/>
      <c r="C13" s="531"/>
      <c r="D13" s="529"/>
      <c r="E13" s="525"/>
      <c r="F13" s="525"/>
      <c r="G13" s="525"/>
      <c r="H13" s="525"/>
      <c r="I13" s="525"/>
      <c r="J13" s="532"/>
      <c r="K13" s="527"/>
      <c r="L13" s="525"/>
    </row>
    <row r="14" spans="1:12" ht="27" customHeight="1" thickBot="1">
      <c r="A14" s="828"/>
      <c r="B14" s="829"/>
      <c r="C14" s="528"/>
      <c r="D14" s="529"/>
      <c r="E14" s="525"/>
      <c r="F14" s="525"/>
      <c r="G14" s="525"/>
      <c r="H14" s="525"/>
      <c r="I14" s="525"/>
      <c r="J14" s="532"/>
      <c r="K14" s="527"/>
      <c r="L14" s="525"/>
    </row>
    <row r="15" spans="1:12" ht="13.5" thickBot="1">
      <c r="A15" s="828"/>
      <c r="B15" s="829"/>
      <c r="C15" s="531"/>
      <c r="D15" s="529"/>
      <c r="E15" s="525"/>
      <c r="F15" s="525"/>
      <c r="G15" s="525"/>
      <c r="H15" s="525"/>
      <c r="I15" s="525"/>
      <c r="J15" s="532"/>
      <c r="K15" s="527"/>
      <c r="L15" s="525"/>
    </row>
    <row r="16" spans="1:12" ht="13.5" thickBot="1">
      <c r="A16" s="828"/>
      <c r="B16" s="829"/>
      <c r="C16" s="528"/>
      <c r="D16" s="529"/>
      <c r="E16" s="525"/>
      <c r="F16" s="525"/>
      <c r="G16" s="525"/>
      <c r="H16" s="525"/>
      <c r="I16" s="525"/>
      <c r="J16" s="532"/>
      <c r="K16" s="527"/>
      <c r="L16" s="525"/>
    </row>
    <row r="17" spans="1:14" ht="13.5" thickBot="1">
      <c r="A17" s="828"/>
      <c r="B17" s="829"/>
      <c r="C17" s="528"/>
      <c r="D17" s="529"/>
      <c r="E17" s="525"/>
      <c r="F17" s="525"/>
      <c r="G17" s="525"/>
      <c r="H17" s="525"/>
      <c r="I17" s="525"/>
      <c r="J17" s="532"/>
      <c r="K17" s="527"/>
      <c r="L17" s="525"/>
    </row>
    <row r="18" spans="1:14" ht="13.5" thickBot="1">
      <c r="A18" s="828"/>
      <c r="B18" s="829"/>
      <c r="C18" s="528"/>
      <c r="D18" s="529"/>
      <c r="E18" s="525"/>
      <c r="F18" s="525"/>
      <c r="G18" s="525"/>
      <c r="H18" s="525"/>
      <c r="I18" s="525"/>
      <c r="J18" s="532"/>
      <c r="K18" s="527"/>
      <c r="L18" s="525"/>
    </row>
    <row r="19" spans="1:14" ht="13.5" thickBot="1">
      <c r="A19" s="828"/>
      <c r="B19" s="829"/>
      <c r="C19" s="528"/>
      <c r="D19" s="529"/>
      <c r="E19" s="525"/>
      <c r="F19" s="525"/>
      <c r="G19" s="525"/>
      <c r="H19" s="525"/>
      <c r="I19" s="525"/>
      <c r="J19" s="532"/>
      <c r="K19" s="527"/>
      <c r="L19" s="525"/>
    </row>
    <row r="20" spans="1:14" ht="13.5" thickBot="1">
      <c r="A20" s="828"/>
      <c r="B20" s="829"/>
      <c r="C20" s="528"/>
      <c r="D20" s="529"/>
      <c r="E20" s="525"/>
      <c r="F20" s="525"/>
      <c r="G20" s="525"/>
      <c r="H20" s="525"/>
      <c r="I20" s="525"/>
      <c r="J20" s="532"/>
      <c r="K20" s="527"/>
      <c r="L20" s="525"/>
    </row>
    <row r="21" spans="1:14" ht="13.5" thickBot="1">
      <c r="A21" s="828"/>
      <c r="B21" s="829"/>
      <c r="C21" s="528"/>
      <c r="D21" s="529"/>
      <c r="E21" s="525"/>
      <c r="F21" s="525"/>
      <c r="G21" s="525"/>
      <c r="H21" s="525"/>
      <c r="I21" s="525"/>
      <c r="J21" s="532"/>
      <c r="K21" s="527"/>
      <c r="L21" s="525"/>
    </row>
    <row r="22" spans="1:14" ht="13.5" thickBot="1">
      <c r="A22" s="828"/>
      <c r="B22" s="829"/>
      <c r="C22" s="528"/>
      <c r="D22" s="529"/>
      <c r="E22" s="525"/>
      <c r="F22" s="525"/>
      <c r="G22" s="525"/>
      <c r="H22" s="525"/>
      <c r="I22" s="525"/>
      <c r="J22" s="532"/>
      <c r="K22" s="527"/>
      <c r="L22" s="525"/>
    </row>
    <row r="23" spans="1:14" ht="13.5" thickBot="1">
      <c r="A23" s="828"/>
      <c r="B23" s="829"/>
      <c r="C23" s="528"/>
      <c r="D23" s="529"/>
      <c r="E23" s="525"/>
      <c r="F23" s="525"/>
      <c r="G23" s="525"/>
      <c r="H23" s="525"/>
      <c r="I23" s="525"/>
      <c r="J23" s="532"/>
      <c r="K23" s="527"/>
      <c r="L23" s="525"/>
    </row>
    <row r="24" spans="1:14" ht="13.5" thickBot="1">
      <c r="A24" s="828"/>
      <c r="B24" s="829"/>
      <c r="C24" s="528"/>
      <c r="D24" s="529"/>
      <c r="E24" s="525"/>
      <c r="F24" s="525"/>
      <c r="G24" s="525"/>
      <c r="H24" s="525"/>
      <c r="I24" s="525"/>
      <c r="J24" s="532"/>
      <c r="K24" s="527"/>
      <c r="L24" s="525"/>
    </row>
    <row r="25" spans="1:14" ht="13.5" thickBot="1">
      <c r="A25" s="828"/>
      <c r="B25" s="829"/>
      <c r="C25" s="528"/>
      <c r="D25" s="529"/>
      <c r="E25" s="525"/>
      <c r="F25" s="525"/>
      <c r="G25" s="525"/>
      <c r="H25" s="525"/>
      <c r="I25" s="525"/>
      <c r="J25" s="532"/>
      <c r="K25" s="527"/>
      <c r="L25" s="525"/>
    </row>
    <row r="26" spans="1:14" ht="13.5" thickBot="1">
      <c r="A26" s="828"/>
      <c r="B26" s="829"/>
      <c r="C26" s="528"/>
      <c r="D26" s="529"/>
      <c r="E26" s="525"/>
      <c r="F26" s="525"/>
      <c r="G26" s="525"/>
      <c r="H26" s="525"/>
      <c r="I26" s="525"/>
      <c r="J26" s="532"/>
      <c r="K26" s="527"/>
      <c r="L26" s="525"/>
    </row>
    <row r="27" spans="1:14" ht="13.5" thickBot="1">
      <c r="A27" s="834" t="s">
        <v>205</v>
      </c>
      <c r="B27" s="835"/>
      <c r="C27" s="835"/>
      <c r="D27" s="835"/>
      <c r="E27" s="835"/>
      <c r="F27" s="835"/>
      <c r="G27" s="836"/>
      <c r="H27" s="525">
        <f>SUM(H10:H26)</f>
        <v>0</v>
      </c>
      <c r="I27" s="525">
        <v>0</v>
      </c>
      <c r="J27" s="527"/>
      <c r="K27" s="527"/>
      <c r="L27" s="525">
        <f>SUM(L10:L26)</f>
        <v>0</v>
      </c>
    </row>
    <row r="30" spans="1:14">
      <c r="N30" s="87"/>
    </row>
  </sheetData>
  <mergeCells count="37">
    <mergeCell ref="A27:G27"/>
    <mergeCell ref="A25:B25"/>
    <mergeCell ref="A26:B26"/>
    <mergeCell ref="A23:B23"/>
    <mergeCell ref="A20:B20"/>
    <mergeCell ref="A21:B21"/>
    <mergeCell ref="A22:B22"/>
    <mergeCell ref="A24:B24"/>
    <mergeCell ref="A11:B11"/>
    <mergeCell ref="I8:I9"/>
    <mergeCell ref="J8:J9"/>
    <mergeCell ref="K8:K9"/>
    <mergeCell ref="A19:B19"/>
    <mergeCell ref="A16:B16"/>
    <mergeCell ref="A17:B17"/>
    <mergeCell ref="A18:B18"/>
    <mergeCell ref="A15:B15"/>
    <mergeCell ref="A10:B10"/>
    <mergeCell ref="E8:E9"/>
    <mergeCell ref="A8:B9"/>
    <mergeCell ref="C8:C9"/>
    <mergeCell ref="A12:B12"/>
    <mergeCell ref="A13:B13"/>
    <mergeCell ref="A14:B14"/>
    <mergeCell ref="A1:L2"/>
    <mergeCell ref="A3:L3"/>
    <mergeCell ref="A4:L4"/>
    <mergeCell ref="A5:L5"/>
    <mergeCell ref="L8:L9"/>
    <mergeCell ref="F8:F9"/>
    <mergeCell ref="H7:L7"/>
    <mergeCell ref="D8:D9"/>
    <mergeCell ref="H8:H9"/>
    <mergeCell ref="G8:G9"/>
    <mergeCell ref="A6:L6"/>
    <mergeCell ref="A7:B7"/>
    <mergeCell ref="E7:G7"/>
  </mergeCells>
  <phoneticPr fontId="25" type="noConversion"/>
  <pageMargins left="0.78740157480314965" right="0.78740157480314965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FU299"/>
  <sheetViews>
    <sheetView tabSelected="1" topLeftCell="B1" zoomScaleSheetLayoutView="30" workbookViewId="0">
      <selection activeCell="I105" sqref="I105"/>
    </sheetView>
  </sheetViews>
  <sheetFormatPr defaultColWidth="19.140625" defaultRowHeight="15.75"/>
  <cols>
    <col min="1" max="1" width="21.28515625" style="4" customWidth="1"/>
    <col min="2" max="2" width="53.5703125" style="4" customWidth="1"/>
    <col min="3" max="3" width="14.7109375" style="4" customWidth="1"/>
    <col min="4" max="4" width="14.85546875" style="4" customWidth="1"/>
    <col min="5" max="5" width="15.140625" style="4" customWidth="1"/>
    <col min="6" max="6" width="15.5703125" style="4" customWidth="1"/>
    <col min="7" max="7" width="15.28515625" style="4" customWidth="1"/>
    <col min="8" max="8" width="14.5703125" style="4" customWidth="1"/>
    <col min="9" max="9" width="15.85546875" style="4" customWidth="1"/>
    <col min="10" max="177" width="19.140625" style="72"/>
    <col min="178" max="16384" width="19.140625" style="4"/>
  </cols>
  <sheetData>
    <row r="1" spans="1:177" s="2" customFormat="1" ht="17.649999999999999" customHeight="1">
      <c r="A1" s="550" t="str">
        <f>Parâmetros!A7</f>
        <v>Município de : PORTÃO/RS</v>
      </c>
      <c r="B1" s="551"/>
      <c r="C1" s="551"/>
      <c r="D1" s="551"/>
      <c r="E1" s="551"/>
      <c r="F1" s="551"/>
      <c r="G1" s="551"/>
      <c r="H1" s="551"/>
      <c r="I1" s="551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</row>
    <row r="2" spans="1:177" s="2" customFormat="1" ht="30" customHeight="1">
      <c r="A2" s="550" t="str">
        <f>Parâmetros!A8</f>
        <v>LEI DE DIRETRIZES ORÇAMENTÁRIAS  PARA 2019</v>
      </c>
      <c r="B2" s="551"/>
      <c r="C2" s="551"/>
      <c r="D2" s="551"/>
      <c r="E2" s="551"/>
      <c r="F2" s="551"/>
      <c r="G2" s="551"/>
      <c r="H2" s="551"/>
      <c r="I2" s="551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</row>
    <row r="3" spans="1:177" s="2" customFormat="1" ht="19.5" customHeight="1">
      <c r="A3" s="552" t="s">
        <v>484</v>
      </c>
      <c r="B3" s="551"/>
      <c r="C3" s="551"/>
      <c r="D3" s="551"/>
      <c r="E3" s="551"/>
      <c r="F3" s="551"/>
      <c r="G3" s="551"/>
      <c r="H3" s="551"/>
      <c r="I3" s="551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</row>
    <row r="4" spans="1:177" s="2" customFormat="1" hidden="1">
      <c r="A4" s="140"/>
      <c r="B4" s="141"/>
      <c r="C4" s="141"/>
      <c r="D4" s="141"/>
      <c r="E4" s="141"/>
      <c r="F4" s="141"/>
      <c r="G4" s="141"/>
      <c r="H4" s="141"/>
      <c r="I4" s="141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</row>
    <row r="5" spans="1:177" s="2" customFormat="1">
      <c r="A5" s="142"/>
      <c r="B5" s="139"/>
      <c r="C5" s="139"/>
      <c r="D5" s="139"/>
      <c r="E5" s="139"/>
      <c r="F5" s="139"/>
      <c r="G5" s="139"/>
      <c r="H5" s="139"/>
      <c r="I5" s="143" t="s">
        <v>55</v>
      </c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</row>
    <row r="6" spans="1:177" s="1" customFormat="1">
      <c r="A6" s="99"/>
      <c r="B6" s="100" t="s">
        <v>0</v>
      </c>
      <c r="C6" s="101" t="s">
        <v>213</v>
      </c>
      <c r="D6" s="101" t="s">
        <v>213</v>
      </c>
      <c r="E6" s="101" t="s">
        <v>213</v>
      </c>
      <c r="F6" s="102" t="s">
        <v>129</v>
      </c>
      <c r="G6" s="102" t="s">
        <v>12</v>
      </c>
      <c r="H6" s="103" t="s">
        <v>12</v>
      </c>
      <c r="I6" s="104" t="s">
        <v>12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</row>
    <row r="7" spans="1:177" s="1" customFormat="1" ht="27.75" customHeight="1">
      <c r="A7" s="105"/>
      <c r="B7" s="106" t="s">
        <v>8</v>
      </c>
      <c r="C7" s="107">
        <f>Parâmetros!B10-1</f>
        <v>2015</v>
      </c>
      <c r="D7" s="108">
        <f t="shared" ref="D7:I7" si="0">C7+1</f>
        <v>2016</v>
      </c>
      <c r="E7" s="108">
        <f t="shared" si="0"/>
        <v>2017</v>
      </c>
      <c r="F7" s="108">
        <f t="shared" si="0"/>
        <v>2018</v>
      </c>
      <c r="G7" s="108">
        <f t="shared" si="0"/>
        <v>2019</v>
      </c>
      <c r="H7" s="108">
        <f t="shared" si="0"/>
        <v>2020</v>
      </c>
      <c r="I7" s="108">
        <f t="shared" si="0"/>
        <v>2021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</row>
    <row r="8" spans="1:177" s="56" customFormat="1" ht="17.45" customHeight="1">
      <c r="A8" s="109" t="s">
        <v>214</v>
      </c>
      <c r="B8" s="110" t="s">
        <v>215</v>
      </c>
      <c r="C8" s="111">
        <f t="shared" ref="C8:I8" si="1">C9+C15+C23+C34+C35+C36+C39+C66</f>
        <v>78200238.75</v>
      </c>
      <c r="D8" s="111">
        <f t="shared" si="1"/>
        <v>90876880.030000016</v>
      </c>
      <c r="E8" s="111">
        <f t="shared" si="1"/>
        <v>92745686.410000011</v>
      </c>
      <c r="F8" s="111">
        <f t="shared" si="1"/>
        <v>92543650</v>
      </c>
      <c r="G8" s="111">
        <f t="shared" si="1"/>
        <v>93769023.681788176</v>
      </c>
      <c r="H8" s="111">
        <f t="shared" si="1"/>
        <v>96698865.895300314</v>
      </c>
      <c r="I8" s="111">
        <f t="shared" si="1"/>
        <v>100692757.20075823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</row>
    <row r="9" spans="1:177" s="8" customFormat="1" ht="12.75">
      <c r="A9" s="112" t="s">
        <v>216</v>
      </c>
      <c r="B9" s="113" t="s">
        <v>217</v>
      </c>
      <c r="C9" s="114">
        <f t="shared" ref="C9:I9" si="2">C10+C11+C12+C13+C14</f>
        <v>9618482.1699999981</v>
      </c>
      <c r="D9" s="114">
        <f t="shared" si="2"/>
        <v>10129979.310000001</v>
      </c>
      <c r="E9" s="114">
        <f t="shared" si="2"/>
        <v>10559311.320000002</v>
      </c>
      <c r="F9" s="114">
        <f>F10+F11+F12+F13+F14</f>
        <v>14368650</v>
      </c>
      <c r="G9" s="114">
        <f t="shared" si="2"/>
        <v>13472687.84307358</v>
      </c>
      <c r="H9" s="114">
        <f t="shared" si="2"/>
        <v>14384590.792815728</v>
      </c>
      <c r="I9" s="114">
        <f t="shared" si="2"/>
        <v>15488645.408973452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</row>
    <row r="10" spans="1:177" s="8" customFormat="1" ht="25.5">
      <c r="A10" s="115" t="s">
        <v>399</v>
      </c>
      <c r="B10" s="116" t="s">
        <v>402</v>
      </c>
      <c r="C10" s="97">
        <v>1368800.33</v>
      </c>
      <c r="D10" s="97">
        <f>1683143.41</f>
        <v>1683143.41</v>
      </c>
      <c r="E10" s="117">
        <f>1751058.05+300146.13</f>
        <v>2051204.1800000002</v>
      </c>
      <c r="F10" s="117">
        <v>2300000</v>
      </c>
      <c r="G10" s="118">
        <f>(((D10*(1+Parâmetros!B11)*(1+Parâmetros!C11)*(1+Parâmetros!D11))+(E10*(1+Parâmetros!C11)*(1+Parâmetros!D11)+(F10*(1+Parâmetros!D11))))/3)*(1+Parâmetros!E11)*(1+Parâmetros!E15)</f>
        <v>2320032.2629202027</v>
      </c>
      <c r="H10" s="118">
        <f>G10*(1+Parâmetros!F11)*(1+Parâmetros!F15)</f>
        <v>2477064.3480316792</v>
      </c>
      <c r="I10" s="118">
        <f>H10*(1+Parâmetros!G11)*(1+Parâmetros!G15)</f>
        <v>2667185.4552188213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</row>
    <row r="11" spans="1:177" s="8" customFormat="1" ht="25.5">
      <c r="A11" s="115" t="s">
        <v>400</v>
      </c>
      <c r="B11" s="116" t="s">
        <v>403</v>
      </c>
      <c r="C11" s="97">
        <f>155160.77+161576.72</f>
        <v>316737.49</v>
      </c>
      <c r="D11" s="97">
        <v>158201.5</v>
      </c>
      <c r="E11" s="117">
        <v>115005.36</v>
      </c>
      <c r="F11" s="117">
        <v>242650</v>
      </c>
      <c r="G11" s="118">
        <f>(((D11*(1+Parâmetros!B11)*(1+Parâmetros!C11)*(1+Parâmetros!D11))+(E11*(1+Parâmetros!C11)*(1+Parâmetros!D11)+(F11*(1+Parâmetros!D11))))/3)*(1+Parâmetros!E11)*(1+Parâmetros!E15)</f>
        <v>198011.68456709717</v>
      </c>
      <c r="H11" s="118">
        <f>G11*(1+Parâmetros!F11)*(1+Parâmetros!F15)</f>
        <v>211414.16530021821</v>
      </c>
      <c r="I11" s="118">
        <f>H11*(1+Parâmetros!G11)*(1+Parâmetros!G15)</f>
        <v>227640.75029542114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</row>
    <row r="12" spans="1:177" s="8" customFormat="1" ht="12.75">
      <c r="A12" s="115" t="s">
        <v>218</v>
      </c>
      <c r="B12" s="116" t="s">
        <v>401</v>
      </c>
      <c r="C12" s="97">
        <f>43828+1594159.54+3871730.63+1468674.3</f>
        <v>6978392.4699999997</v>
      </c>
      <c r="D12" s="97">
        <f>1727006.56+22.89+1257104.75+4022084.58+244669.7</f>
        <v>7250888.4800000004</v>
      </c>
      <c r="E12" s="117">
        <f>1906065.78+973107.06+4243776.74</f>
        <v>7122949.5800000001</v>
      </c>
      <c r="F12" s="117">
        <f>9100000+1010000+295000</f>
        <v>10405000</v>
      </c>
      <c r="G12" s="118">
        <f>(((D12*(1+Parâmetros!B11)*(1+Parâmetros!C11)*(1+Parâmetros!D11))+(E12*(1+Parâmetros!C11)*(1+Parâmetros!D11)+(F12*(1+Parâmetros!D11))))/3)*(1+Parâmetros!E11)*(1+Parâmetros!E15)</f>
        <v>9521042.8888294399</v>
      </c>
      <c r="H12" s="118">
        <f>G12*(1+Parâmetros!F11)*(1+Parâmetros!F15)</f>
        <v>10165477.555176193</v>
      </c>
      <c r="I12" s="118">
        <f>H12*(1+Parâmetros!G11)*(1+Parâmetros!G15)</f>
        <v>10945704.297937993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</row>
    <row r="13" spans="1:177" s="8" customFormat="1" ht="12" customHeight="1">
      <c r="A13" s="115" t="s">
        <v>219</v>
      </c>
      <c r="B13" s="116" t="s">
        <v>220</v>
      </c>
      <c r="C13" s="97">
        <v>950404.03</v>
      </c>
      <c r="D13" s="97">
        <v>1036061.93</v>
      </c>
      <c r="E13" s="117">
        <v>1269176.05</v>
      </c>
      <c r="F13" s="117">
        <v>1400000</v>
      </c>
      <c r="G13" s="118">
        <f>(((D13*(1+Parâmetros!B11)*(1+Parâmetros!C11)*(1+Parâmetros!D11))+(E13*(1+Parâmetros!C11)*(1+Parâmetros!D11)+(F13*(1+Parâmetros!D11))))/3)*(1+Parâmetros!E11)*(1+Parâmetros!E15)</f>
        <v>1424796.0853293738</v>
      </c>
      <c r="H13" s="118">
        <f>G13*(1+Parâmetros!F11)*(1+Parâmetros!F15)</f>
        <v>1521233.8391114366</v>
      </c>
      <c r="I13" s="118">
        <f>H13*(1+Parâmetros!G11)*(1+Parâmetros!G15)</f>
        <v>1637992.4780269866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</row>
    <row r="14" spans="1:177" s="8" customFormat="1" ht="12.75">
      <c r="A14" s="115" t="s">
        <v>221</v>
      </c>
      <c r="B14" s="116" t="s">
        <v>222</v>
      </c>
      <c r="C14" s="97">
        <v>4147.8500000000004</v>
      </c>
      <c r="D14" s="97">
        <v>1683.99</v>
      </c>
      <c r="E14" s="117">
        <v>976.15</v>
      </c>
      <c r="F14" s="117">
        <v>21000</v>
      </c>
      <c r="G14" s="118">
        <f>(((D14*(1+Parâmetros!B11)*(1+Parâmetros!C11)*(1+Parâmetros!D11))+(E14*(1+Parâmetros!C11)*(1+Parâmetros!D11)+(F14*(1+Parâmetros!D11))))/3)*(1+Parâmetros!E11)*(1+Parâmetros!E15)</f>
        <v>8804.9214274659789</v>
      </c>
      <c r="H14" s="118">
        <f>G14*(1+Parâmetros!F11)*(1+Parâmetros!F15)</f>
        <v>9400.8851962014032</v>
      </c>
      <c r="I14" s="118">
        <f>H14*(1+Parâmetros!G11)*(1+Parâmetros!G15)</f>
        <v>10122.427494229005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</row>
    <row r="15" spans="1:177" customFormat="1" ht="12.75">
      <c r="A15" s="112" t="s">
        <v>223</v>
      </c>
      <c r="B15" s="113" t="s">
        <v>224</v>
      </c>
      <c r="C15" s="114">
        <f t="shared" ref="C15:I15" si="3">C16+C21+C22</f>
        <v>3919170.84</v>
      </c>
      <c r="D15" s="114">
        <f t="shared" si="3"/>
        <v>4017322.6900000004</v>
      </c>
      <c r="E15" s="114">
        <f t="shared" si="3"/>
        <v>4330915.67</v>
      </c>
      <c r="F15" s="114">
        <f t="shared" si="3"/>
        <v>4153000</v>
      </c>
      <c r="G15" s="114">
        <f t="shared" si="3"/>
        <v>4566249.7367585078</v>
      </c>
      <c r="H15" s="114">
        <f t="shared" si="3"/>
        <v>4881519.4676469555</v>
      </c>
      <c r="I15" s="114">
        <f t="shared" si="3"/>
        <v>5255014.4943663636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</row>
    <row r="16" spans="1:177" customFormat="1" ht="12.75">
      <c r="A16" s="112" t="s">
        <v>225</v>
      </c>
      <c r="B16" s="113" t="s">
        <v>226</v>
      </c>
      <c r="C16" s="114">
        <f t="shared" ref="C16:I16" si="4">C17+C18+C19+C20</f>
        <v>2362431.19</v>
      </c>
      <c r="D16" s="114">
        <f t="shared" si="4"/>
        <v>2578762.66</v>
      </c>
      <c r="E16" s="114">
        <f t="shared" si="4"/>
        <v>2660055.39</v>
      </c>
      <c r="F16" s="114">
        <f t="shared" si="4"/>
        <v>2781000</v>
      </c>
      <c r="G16" s="114">
        <f t="shared" si="4"/>
        <v>3166249.7367585078</v>
      </c>
      <c r="H16" s="114">
        <f t="shared" si="4"/>
        <v>3386211.1636469555</v>
      </c>
      <c r="I16" s="114">
        <f t="shared" si="4"/>
        <v>3659759.5440776749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</row>
    <row r="17" spans="1:177" customFormat="1" ht="25.5">
      <c r="A17" s="115" t="s">
        <v>227</v>
      </c>
      <c r="B17" s="116" t="s">
        <v>386</v>
      </c>
      <c r="C17" s="97">
        <v>2238813.52</v>
      </c>
      <c r="D17" s="97">
        <v>2500544.02</v>
      </c>
      <c r="E17" s="117">
        <v>2603667.33</v>
      </c>
      <c r="F17" s="117">
        <v>2701000</v>
      </c>
      <c r="G17" s="118">
        <f>(((D17*(1+Parâmetros!B11)*(1+Parâmetros!C11)*(1+Parâmetros!D11))+(E17*(1+Parâmetros!C11)*(1+Parâmetros!D11)+(F17*(1+Parâmetros!D11))))/3)*(1+Parâmetros!E11)*(1+Parâmetros!E13)*(1+Parâmetros!E18)</f>
        <v>3085404.3595971819</v>
      </c>
      <c r="H17" s="118">
        <f>G17*(1+Parâmetros!F11)*(1+Parâmetros!F13)*(1+Parâmetros!F18)</f>
        <v>3302115.8023237442</v>
      </c>
      <c r="I17" s="118">
        <f>H17*(1+Parâmetros!G11)*(1+Parâmetros!G13)*(1+Parâmetros!G18)</f>
        <v>3572350.8255183292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</row>
    <row r="18" spans="1:177" customFormat="1" ht="12.75">
      <c r="A18" s="115" t="s">
        <v>228</v>
      </c>
      <c r="B18" s="116" t="s">
        <v>229</v>
      </c>
      <c r="C18" s="97"/>
      <c r="D18" s="97"/>
      <c r="E18" s="117">
        <v>0</v>
      </c>
      <c r="F18" s="117">
        <v>0</v>
      </c>
      <c r="G18" s="118">
        <f>(((D18*(1+Parâmetros!B11)*(1+Parâmetros!C11)*(1+Parâmetros!D11))+(E18*(1+Parâmetros!C11)*(1+Parâmetros!D11)+(F18*(1+Parâmetros!D11))))/3)*(1+Parâmetros!E11)</f>
        <v>0</v>
      </c>
      <c r="H18" s="118">
        <f>G18*(1+Parâmetros!F11)</f>
        <v>0</v>
      </c>
      <c r="I18" s="118">
        <f>H18*(1+Parâmetros!G11)</f>
        <v>0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</row>
    <row r="19" spans="1:177" customFormat="1" ht="12.75">
      <c r="A19" s="115" t="s">
        <v>230</v>
      </c>
      <c r="B19" s="116" t="s">
        <v>231</v>
      </c>
      <c r="C19" s="97">
        <v>123617.67</v>
      </c>
      <c r="D19" s="97">
        <v>78218.64</v>
      </c>
      <c r="E19" s="117">
        <v>56388.06</v>
      </c>
      <c r="F19" s="117">
        <v>80000</v>
      </c>
      <c r="G19" s="118">
        <f>(((D19*(1+Parâmetros!B11)*(1+Parâmetros!C11)*(1+Parâmetros!D11))+(E19*(1+Parâmetros!C11)*(1+Parâmetros!D11)+(F19*(1+Parâmetros!D11))))/3)*(1+Parâmetros!E11)</f>
        <v>80845.377161325829</v>
      </c>
      <c r="H19" s="118">
        <f>G19*(1+Parâmetros!F11)</f>
        <v>84095.361323211124</v>
      </c>
      <c r="I19" s="118">
        <f>H19*(1+Parâmetros!G11)</f>
        <v>87408.718559345652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</row>
    <row r="20" spans="1:177" customFormat="1" ht="12.75">
      <c r="A20" s="115" t="s">
        <v>232</v>
      </c>
      <c r="B20" s="116" t="s">
        <v>233</v>
      </c>
      <c r="C20" s="97"/>
      <c r="D20" s="97"/>
      <c r="E20" s="117">
        <v>0</v>
      </c>
      <c r="F20" s="117">
        <v>0</v>
      </c>
      <c r="G20" s="118">
        <f>(((D20*(1+Parâmetros!B11)*(1+Parâmetros!C11)*(1+Parâmetros!D11))+(E20*(1+Parâmetros!C11)*(1+Parâmetros!D11)+(F20*(1+Parâmetros!D11))))/3)*(1+Parâmetros!E11)</f>
        <v>0</v>
      </c>
      <c r="H20" s="118">
        <f>G20*(1+Parâmetros!F11)</f>
        <v>0</v>
      </c>
      <c r="I20" s="118">
        <f>H20*(1+Parâmetros!G11)</f>
        <v>0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</row>
    <row r="21" spans="1:177" s="8" customFormat="1" ht="12.75">
      <c r="A21" s="115" t="s">
        <v>234</v>
      </c>
      <c r="B21" s="116" t="s">
        <v>235</v>
      </c>
      <c r="C21" s="97"/>
      <c r="D21" s="97"/>
      <c r="E21" s="117">
        <v>0</v>
      </c>
      <c r="F21" s="117">
        <v>0</v>
      </c>
      <c r="G21" s="118">
        <f>(((D21*(1+Parâmetros!B11)*(1+Parâmetros!C11)*(1+Parâmetros!D11))+(E21*(1+Parâmetros!C11)*(1+Parâmetros!D11)+(F21*(1+Parâmetros!D11))))/3)*(1+Parâmetros!E11)</f>
        <v>0</v>
      </c>
      <c r="H21" s="118">
        <f>G21*(1+Parâmetros!F11)</f>
        <v>0</v>
      </c>
      <c r="I21" s="118">
        <f>H21*(1+Parâmetros!G11)</f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</row>
    <row r="22" spans="1:177" s="8" customFormat="1" ht="12.75">
      <c r="A22" s="115" t="s">
        <v>236</v>
      </c>
      <c r="B22" s="116" t="s">
        <v>237</v>
      </c>
      <c r="C22" s="97">
        <v>1556739.65</v>
      </c>
      <c r="D22" s="97">
        <v>1438560.03</v>
      </c>
      <c r="E22" s="117">
        <v>1670860.28</v>
      </c>
      <c r="F22" s="117">
        <v>1372000</v>
      </c>
      <c r="G22" s="118">
        <v>1400000</v>
      </c>
      <c r="H22" s="118">
        <f>G22*(1+Parâmetros!F11)*(1+Parâmetros!F12)</f>
        <v>1495308.304</v>
      </c>
      <c r="I22" s="118">
        <f>H22*(1+Parâmetros!G11)*(1+Parâmetros!G12)</f>
        <v>1595254.9502886888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</row>
    <row r="23" spans="1:177" s="8" customFormat="1" ht="12.75">
      <c r="A23" s="112" t="s">
        <v>238</v>
      </c>
      <c r="B23" s="113" t="s">
        <v>239</v>
      </c>
      <c r="C23" s="114">
        <f>C24+C25+C31+C32+C33</f>
        <v>8089647.1900000004</v>
      </c>
      <c r="D23" s="114">
        <f t="shared" ref="D23:I23" si="5">D24+D25+D31+D32+D33</f>
        <v>13450571.630000001</v>
      </c>
      <c r="E23" s="114">
        <f t="shared" si="5"/>
        <v>12098374.010000002</v>
      </c>
      <c r="F23" s="114">
        <f t="shared" si="5"/>
        <v>7912000</v>
      </c>
      <c r="G23" s="114">
        <f t="shared" si="5"/>
        <v>7911916.6926403409</v>
      </c>
      <c r="H23" s="114">
        <f t="shared" si="5"/>
        <v>8449705.6764678564</v>
      </c>
      <c r="I23" s="114">
        <f t="shared" si="5"/>
        <v>9013632.0312138386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</row>
    <row r="24" spans="1:177" s="8" customFormat="1" ht="12.75">
      <c r="A24" s="115" t="s">
        <v>240</v>
      </c>
      <c r="B24" s="116" t="s">
        <v>241</v>
      </c>
      <c r="C24" s="97">
        <v>20380.98</v>
      </c>
      <c r="D24" s="97">
        <v>26239</v>
      </c>
      <c r="E24" s="117">
        <v>23305.13</v>
      </c>
      <c r="F24" s="117">
        <v>30000</v>
      </c>
      <c r="G24" s="118">
        <f>(((D24*(1+Parâmetros!B11)*(1+Parâmetros!C11)*(1+Parâmetros!D11))+(E24*(1+Parâmetros!C11)*(1+Parâmetros!D11)+(F24*(1+Parâmetros!D11))))/3)*(1+Parâmetros!E11)</f>
        <v>29895.841907923033</v>
      </c>
      <c r="H24" s="118">
        <f>G24*(1+Parâmetros!F11)</f>
        <v>31097.65475262154</v>
      </c>
      <c r="I24" s="118">
        <f>H24*(1+Parâmetros!G11)</f>
        <v>32322.902349874832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</row>
    <row r="25" spans="1:177" s="55" customFormat="1">
      <c r="A25" s="112" t="s">
        <v>242</v>
      </c>
      <c r="B25" s="113" t="s">
        <v>243</v>
      </c>
      <c r="C25" s="114">
        <f t="shared" ref="C25:I25" si="6">C26+C27+C28+C29+C30</f>
        <v>8069266.21</v>
      </c>
      <c r="D25" s="114">
        <f t="shared" si="6"/>
        <v>13424281.630000001</v>
      </c>
      <c r="E25" s="114">
        <f t="shared" si="6"/>
        <v>12075068.880000001</v>
      </c>
      <c r="F25" s="114">
        <f t="shared" si="6"/>
        <v>7882000</v>
      </c>
      <c r="G25" s="114">
        <f t="shared" si="6"/>
        <v>7882000</v>
      </c>
      <c r="H25" s="114">
        <f t="shared" si="6"/>
        <v>8418585.7515200004</v>
      </c>
      <c r="I25" s="114">
        <f t="shared" si="6"/>
        <v>8981285.3701253161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</row>
    <row r="26" spans="1:177" customFormat="1" ht="12.75">
      <c r="A26" s="115" t="s">
        <v>244</v>
      </c>
      <c r="B26" s="116" t="s">
        <v>245</v>
      </c>
      <c r="C26" s="97">
        <f>129882.87+86264.83</f>
        <v>216147.7</v>
      </c>
      <c r="D26" s="97">
        <f>221691.73+225583.21+10314.52</f>
        <v>457589.46</v>
      </c>
      <c r="E26" s="117">
        <f>987226.63-516792.95</f>
        <v>470433.68</v>
      </c>
      <c r="F26" s="117">
        <v>282000</v>
      </c>
      <c r="G26" s="118">
        <v>282000</v>
      </c>
      <c r="H26" s="118">
        <f>G26*(1+Parâmetros!F11)*(1+Parâmetros!F12)</f>
        <v>301197.81552</v>
      </c>
      <c r="I26" s="118">
        <f>H26*(1+Parâmetros!G11)*(1+Parâmetros!G12)</f>
        <v>321329.92570100731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</row>
    <row r="27" spans="1:177" customFormat="1" ht="25.5">
      <c r="A27" s="115" t="s">
        <v>246</v>
      </c>
      <c r="B27" s="116" t="s">
        <v>247</v>
      </c>
      <c r="C27" s="97">
        <v>709796.96</v>
      </c>
      <c r="D27" s="97">
        <v>770306.78</v>
      </c>
      <c r="E27" s="117">
        <v>516792.95</v>
      </c>
      <c r="F27" s="117">
        <v>600000</v>
      </c>
      <c r="G27" s="118">
        <v>600000</v>
      </c>
      <c r="H27" s="118">
        <f>G27*(1+Parâmetros!F11)*(1+Parâmetros!F12)</f>
        <v>640846.41599999997</v>
      </c>
      <c r="I27" s="118">
        <f>H27*(1+Parâmetros!G11)*(1+Parâmetros!G12)</f>
        <v>683680.69298086665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</row>
    <row r="28" spans="1:177" customFormat="1" ht="25.5">
      <c r="A28" s="115" t="s">
        <v>248</v>
      </c>
      <c r="B28" s="116" t="s">
        <v>249</v>
      </c>
      <c r="C28" s="97">
        <v>7143321.5499999998</v>
      </c>
      <c r="D28" s="97">
        <v>12196385.390000001</v>
      </c>
      <c r="E28" s="117">
        <v>11087842.25</v>
      </c>
      <c r="F28" s="117">
        <v>7000000</v>
      </c>
      <c r="G28" s="118">
        <v>7000000</v>
      </c>
      <c r="H28" s="118">
        <f>G28*(1+Parâmetros!F11)*(1+Parâmetros!F12)</f>
        <v>7476541.5199999996</v>
      </c>
      <c r="I28" s="118">
        <f>H28*(1+Parâmetros!G11)*(1+Parâmetros!G12)</f>
        <v>7976274.7514434429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</row>
    <row r="29" spans="1:177" customFormat="1" ht="12.75">
      <c r="A29" s="115" t="s">
        <v>250</v>
      </c>
      <c r="B29" s="116" t="s">
        <v>251</v>
      </c>
      <c r="C29" s="117">
        <v>0</v>
      </c>
      <c r="D29" s="117">
        <v>0</v>
      </c>
      <c r="E29" s="117">
        <v>0</v>
      </c>
      <c r="F29" s="117">
        <v>0</v>
      </c>
      <c r="G29" s="118">
        <f>(((D29*(1+Parâmetros!B11)*(1+Parâmetros!C11)*(1+Parâmetros!D11))+(E29*(1+Parâmetros!C11)*(1+Parâmetros!D11)+(F29*(1+Parâmetros!D11))))/3)*(1+Parâmetros!E11)*(1+Parâmetros!E12)</f>
        <v>0</v>
      </c>
      <c r="H29" s="118">
        <f>G29*(1+Parâmetros!F11)*(1+Parâmetros!F12)</f>
        <v>0</v>
      </c>
      <c r="I29" s="118">
        <f>H29*(1+Parâmetros!G11)*(1+Parâmetros!G12)</f>
        <v>0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</row>
    <row r="30" spans="1:177" customFormat="1" ht="12.75">
      <c r="A30" s="115" t="s">
        <v>252</v>
      </c>
      <c r="B30" s="116" t="s">
        <v>253</v>
      </c>
      <c r="C30" s="117">
        <v>0</v>
      </c>
      <c r="D30" s="117">
        <v>0</v>
      </c>
      <c r="E30" s="117">
        <v>0</v>
      </c>
      <c r="F30" s="117">
        <v>0</v>
      </c>
      <c r="G30" s="118">
        <f>(((D30*(1+Parâmetros!B11)*(1+Parâmetros!C11)*(1+Parâmetros!D11))+(E30*(1+Parâmetros!C11)*(1+Parâmetros!D11)+(F30*(1+Parâmetros!D11))))/3)*(1+Parâmetros!E11)*(1+Parâmetros!E12)</f>
        <v>0</v>
      </c>
      <c r="H30" s="118">
        <f>G30*(1+Parâmetros!F11)*(1+Parâmetros!F12)</f>
        <v>0</v>
      </c>
      <c r="I30" s="118">
        <f>H30*(1+Parâmetros!G11)*(1+Parâmetros!G12)</f>
        <v>0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</row>
    <row r="31" spans="1:177" customFormat="1" ht="25.5">
      <c r="A31" s="115" t="s">
        <v>254</v>
      </c>
      <c r="B31" s="116" t="s">
        <v>255</v>
      </c>
      <c r="C31" s="117">
        <v>0</v>
      </c>
      <c r="D31" s="117">
        <v>0</v>
      </c>
      <c r="E31" s="117">
        <v>0</v>
      </c>
      <c r="F31" s="117">
        <v>0</v>
      </c>
      <c r="G31" s="118">
        <f>(((D31*(1+Parâmetros!B11)*(1+Parâmetros!C11)*(1+Parâmetros!D11))+(E31*(1+Parâmetros!C11)*(1+Parâmetros!D11)+(F31*(1+Parâmetros!D11))))/3)*(1+Parâmetros!E11)*(1+Parâmetros!E12)</f>
        <v>0</v>
      </c>
      <c r="H31" s="118">
        <f>G31*(1+Parâmetros!F11)*(1+Parâmetros!F12)</f>
        <v>0</v>
      </c>
      <c r="I31" s="118">
        <f>H31*(1+Parâmetros!G11)*(1+Parâmetros!G12)</f>
        <v>0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</row>
    <row r="32" spans="1:177" customFormat="1" ht="12.75">
      <c r="A32" s="115" t="s">
        <v>256</v>
      </c>
      <c r="B32" s="116" t="s">
        <v>257</v>
      </c>
      <c r="C32" s="117">
        <v>0</v>
      </c>
      <c r="D32" s="117">
        <v>0</v>
      </c>
      <c r="E32" s="117">
        <v>0</v>
      </c>
      <c r="F32" s="117">
        <v>0</v>
      </c>
      <c r="G32" s="118">
        <f>(((D32*(1+Parâmetros!B11)*(1+Parâmetros!C11)*(1+Parâmetros!D11))+(E32*(1+Parâmetros!C11)*(1+Parâmetros!D11)+(F32*(1+Parâmetros!D11))))/3)*(1+Parâmetros!E11)*(1+Parâmetros!E12)</f>
        <v>0</v>
      </c>
      <c r="H32" s="118">
        <f>G32*(1+Parâmetros!F11)*(1+Parâmetros!F12)</f>
        <v>0</v>
      </c>
      <c r="I32" s="118">
        <f>H32*(1+Parâmetros!G11)*(1+Parâmetros!G12)</f>
        <v>0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</row>
    <row r="33" spans="1:177" customFormat="1" ht="12.75">
      <c r="A33" s="115" t="s">
        <v>258</v>
      </c>
      <c r="B33" s="116" t="s">
        <v>259</v>
      </c>
      <c r="C33" s="97"/>
      <c r="D33" s="117">
        <v>51</v>
      </c>
      <c r="E33" s="117">
        <v>0</v>
      </c>
      <c r="F33" s="117">
        <v>0</v>
      </c>
      <c r="G33" s="118">
        <f>(((D33*(1+Parâmetros!B11)*(1+Parâmetros!C11)*(1+Parâmetros!D11))+(E33*(1+Parâmetros!C11)*(1+Parâmetros!D11)+(F33*(1+Parâmetros!D11))))/3)*(1+Parâmetros!E11)*(1+Parâmetros!E12)</f>
        <v>20.850732417483741</v>
      </c>
      <c r="H33" s="118">
        <f>G33*(1+Parâmetros!F11)*(1+Parâmetros!F12)</f>
        <v>22.270195234532451</v>
      </c>
      <c r="I33" s="118">
        <f>H33*(1+Parâmetros!G11)*(1+Parâmetros!G12)</f>
        <v>23.758738647239841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</row>
    <row r="34" spans="1:177" customFormat="1" ht="12.75">
      <c r="A34" s="115" t="s">
        <v>260</v>
      </c>
      <c r="B34" s="116" t="s">
        <v>261</v>
      </c>
      <c r="C34" s="117">
        <v>0</v>
      </c>
      <c r="D34" s="117">
        <v>0</v>
      </c>
      <c r="E34" s="117">
        <v>0</v>
      </c>
      <c r="F34" s="117">
        <v>0</v>
      </c>
      <c r="G34" s="118">
        <f>(((D34*(1+Parâmetros!B11)*(1+Parâmetros!C11)*(1+Parâmetros!D11))+(E34*(1+Parâmetros!C11)*(1+Parâmetros!D11)+(F34*(1+Parâmetros!D11))))/3)*(1+Parâmetros!E11)*(1+Parâmetros!E12)</f>
        <v>0</v>
      </c>
      <c r="H34" s="118">
        <f>G34*(1+Parâmetros!F11)*(1+Parâmetros!F12)</f>
        <v>0</v>
      </c>
      <c r="I34" s="118">
        <f>H34*(1+Parâmetros!G11)*(1+Parâmetros!G12)</f>
        <v>0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</row>
    <row r="35" spans="1:177" customFormat="1" ht="12.75">
      <c r="A35" s="115" t="s">
        <v>291</v>
      </c>
      <c r="B35" s="116" t="s">
        <v>292</v>
      </c>
      <c r="C35" s="117">
        <v>0</v>
      </c>
      <c r="D35" s="117">
        <v>0</v>
      </c>
      <c r="E35" s="117">
        <v>0</v>
      </c>
      <c r="F35" s="117">
        <v>0</v>
      </c>
      <c r="G35" s="118">
        <f>(((D35*(1+Parâmetros!B11)*(1+Parâmetros!C11)*(1+Parâmetros!D11))+(E35*(1+Parâmetros!C11)*(1+Parâmetros!D11)+(F35*(1+Parâmetros!D11))))/3)*(1+Parâmetros!E11)*(1+Parâmetros!E12)</f>
        <v>0</v>
      </c>
      <c r="H35" s="118">
        <f>G35*(1+Parâmetros!F11)*(1+Parâmetros!F12)</f>
        <v>0</v>
      </c>
      <c r="I35" s="118">
        <f>H35*(1+Parâmetros!G11)*(1+Parâmetros!G12)</f>
        <v>0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</row>
    <row r="36" spans="1:177" s="7" customFormat="1" ht="12.75">
      <c r="A36" s="119" t="s">
        <v>523</v>
      </c>
      <c r="B36" s="120" t="s">
        <v>262</v>
      </c>
      <c r="C36" s="121">
        <f t="shared" ref="C36:I36" si="7">C37+C38</f>
        <v>24801.49</v>
      </c>
      <c r="D36" s="121">
        <f t="shared" si="7"/>
        <v>7245</v>
      </c>
      <c r="E36" s="121">
        <f t="shared" si="7"/>
        <v>19640.91</v>
      </c>
      <c r="F36" s="121">
        <f t="shared" si="7"/>
        <v>45000</v>
      </c>
      <c r="G36" s="121">
        <f t="shared" si="7"/>
        <v>27172.838204597774</v>
      </c>
      <c r="H36" s="121">
        <f t="shared" si="7"/>
        <v>29022.693293273926</v>
      </c>
      <c r="I36" s="121">
        <f t="shared" si="7"/>
        <v>30962.574756627284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</row>
    <row r="37" spans="1:177" customFormat="1" ht="25.5">
      <c r="A37" s="122" t="s">
        <v>525</v>
      </c>
      <c r="B37" s="116" t="s">
        <v>526</v>
      </c>
      <c r="C37" s="117">
        <v>0</v>
      </c>
      <c r="D37" s="117">
        <v>0</v>
      </c>
      <c r="E37" s="117">
        <v>0</v>
      </c>
      <c r="F37" s="117">
        <v>0</v>
      </c>
      <c r="G37" s="114">
        <f>(((D37*(1+Parâmetros!B11)*(1+Parâmetros!C11)*(1+Parâmetros!D11))+(E37*(1+Parâmetros!C11)*(1+Parâmetros!D11)+(F37*(1+Parâmetros!D11))))/3)*(1+Parâmetros!E11)</f>
        <v>0</v>
      </c>
      <c r="H37" s="118">
        <f>G37*(1+Parâmetros!F11)</f>
        <v>0</v>
      </c>
      <c r="I37" s="118">
        <f>H37*(1+Parâmetros!G11)</f>
        <v>0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</row>
    <row r="38" spans="1:177" customFormat="1" ht="12.75">
      <c r="A38" s="115" t="s">
        <v>523</v>
      </c>
      <c r="B38" s="116" t="s">
        <v>524</v>
      </c>
      <c r="C38" s="97">
        <v>24801.49</v>
      </c>
      <c r="D38" s="97">
        <v>7245</v>
      </c>
      <c r="E38" s="117">
        <v>19640.91</v>
      </c>
      <c r="F38" s="117">
        <v>45000</v>
      </c>
      <c r="G38" s="114">
        <f>(((D38*(1+Parâmetros!B11)*(1+Parâmetros!C11)*(1+Parâmetros!D11))+(E38*(1+Parâmetros!C11)*(1+Parâmetros!D11)+(F38*(1+Parâmetros!D11))))/3)*(1+Parâmetros!E11)*(1+Parâmetros!E12)</f>
        <v>27172.838204597774</v>
      </c>
      <c r="H38" s="114">
        <f>G38*(1+Parâmetros!F11)*(1+Parâmetros!F12)</f>
        <v>29022.693293273926</v>
      </c>
      <c r="I38" s="114">
        <f>H38*(1+Parâmetros!G11)*(1+Parâmetros!G12)</f>
        <v>30962.574756627284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</row>
    <row r="39" spans="1:177" s="7" customFormat="1" ht="12.75">
      <c r="A39" s="112" t="s">
        <v>263</v>
      </c>
      <c r="B39" s="113" t="s">
        <v>264</v>
      </c>
      <c r="C39" s="114">
        <f t="shared" ref="C39:I39" si="8">C40+C51+C61+C62+C63+C64+C65</f>
        <v>55353686.780000001</v>
      </c>
      <c r="D39" s="114">
        <f t="shared" si="8"/>
        <v>62473582.730000004</v>
      </c>
      <c r="E39" s="114">
        <f t="shared" si="8"/>
        <v>63439467.440000005</v>
      </c>
      <c r="F39" s="114">
        <f t="shared" si="8"/>
        <v>65988000</v>
      </c>
      <c r="G39" s="114">
        <f t="shared" si="8"/>
        <v>67688122.018951163</v>
      </c>
      <c r="H39" s="114">
        <f t="shared" si="8"/>
        <v>68847233.155919671</v>
      </c>
      <c r="I39" s="114">
        <f t="shared" si="8"/>
        <v>70793771.094390348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</row>
    <row r="40" spans="1:177" s="7" customFormat="1" ht="12.75">
      <c r="A40" s="112" t="s">
        <v>265</v>
      </c>
      <c r="B40" s="113" t="s">
        <v>266</v>
      </c>
      <c r="C40" s="114">
        <f t="shared" ref="C40:I40" si="9">C41+C42+C43+C44+C45+C46+C47+C48+C49+C50</f>
        <v>22166444</v>
      </c>
      <c r="D40" s="114">
        <f t="shared" si="9"/>
        <v>25394200.420000002</v>
      </c>
      <c r="E40" s="114">
        <f t="shared" si="9"/>
        <v>24728457.560000006</v>
      </c>
      <c r="F40" s="114">
        <f t="shared" si="9"/>
        <v>24801000</v>
      </c>
      <c r="G40" s="114">
        <f t="shared" si="9"/>
        <v>25524694.980573021</v>
      </c>
      <c r="H40" s="114">
        <f t="shared" si="9"/>
        <v>25814891.702080928</v>
      </c>
      <c r="I40" s="114">
        <f t="shared" si="9"/>
        <v>26369433.556377284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</row>
    <row r="41" spans="1:177" customFormat="1" ht="25.5">
      <c r="A41" s="115" t="s">
        <v>267</v>
      </c>
      <c r="B41" s="116" t="s">
        <v>268</v>
      </c>
      <c r="C41" s="97">
        <v>16942145.620000001</v>
      </c>
      <c r="D41" s="97">
        <v>19366981.07</v>
      </c>
      <c r="E41" s="117">
        <v>18450651.550000001</v>
      </c>
      <c r="F41" s="117">
        <v>18700000</v>
      </c>
      <c r="G41" s="118">
        <v>19000000</v>
      </c>
      <c r="H41" s="118">
        <f>G41*(1+Parâmetros!F11)*(1+Parâmetros!F16)</f>
        <v>19105553.893619414</v>
      </c>
      <c r="I41" s="118">
        <f>H41*(1+Parâmetros!G11)*(1+Parâmetros!G16)</f>
        <v>19444556.529358085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</row>
    <row r="42" spans="1:177" customFormat="1" ht="25.5">
      <c r="A42" s="115" t="s">
        <v>269</v>
      </c>
      <c r="B42" s="116" t="s">
        <v>270</v>
      </c>
      <c r="C42" s="97"/>
      <c r="D42" s="97">
        <v>729250.67</v>
      </c>
      <c r="E42" s="117">
        <f>1666508.64/2</f>
        <v>833254.32</v>
      </c>
      <c r="F42" s="117">
        <v>881000</v>
      </c>
      <c r="G42" s="118">
        <f>(((D42*(1+Parâmetros!B11)*(1+Parâmetros!C11)*(1+Parâmetros!D11))+(E42*(1+Parâmetros!C11)*(1+Parâmetros!D11)+(F42*(1+Parâmetros!D11))))/3)*(1+Parâmetros!E11)*(1+Parâmetros!E16)</f>
        <v>921444.16567618249</v>
      </c>
      <c r="H42" s="118">
        <f>G42*(1+Parâmetros!F11)*(1+Parâmetros!F16)</f>
        <v>926563.21933092026</v>
      </c>
      <c r="I42" s="118">
        <f>H42*(1+Parâmetros!G11)*(1+Parâmetros!G16)</f>
        <v>943003.85095461737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</row>
    <row r="43" spans="1:177" customFormat="1" ht="25.5">
      <c r="A43" s="115" t="s">
        <v>271</v>
      </c>
      <c r="B43" s="116" t="s">
        <v>272</v>
      </c>
      <c r="C43" s="97">
        <v>943420.72</v>
      </c>
      <c r="D43" s="97">
        <v>700000</v>
      </c>
      <c r="E43" s="117">
        <v>833254.32</v>
      </c>
      <c r="F43" s="117">
        <v>872000</v>
      </c>
      <c r="G43" s="118">
        <f>(((D43*(1+Parâmetros!B11)*(1+Parâmetros!C11)*(1+Parâmetros!D11))+(E43*(1+Parâmetros!C11)*(1+Parâmetros!D11)+(F43*(1+Parâmetros!D11))))/3)*(1+Parâmetros!E11)*(1+Parâmetros!E16)</f>
        <v>906531.1992531541</v>
      </c>
      <c r="H43" s="118">
        <f>G43*(1+Parâmetros!F11)*(1+Parâmetros!F16)</f>
        <v>911567.40439887252</v>
      </c>
      <c r="I43" s="118">
        <f>H43*(1+Parâmetros!G11)*(1+Parâmetros!G16)</f>
        <v>927741.95523709129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</row>
    <row r="44" spans="1:177" customFormat="1" ht="12.75">
      <c r="A44" s="115" t="s">
        <v>273</v>
      </c>
      <c r="B44" s="116" t="s">
        <v>274</v>
      </c>
      <c r="C44" s="97">
        <v>36634.550000000003</v>
      </c>
      <c r="D44" s="97">
        <v>0</v>
      </c>
      <c r="E44" s="117">
        <v>0</v>
      </c>
      <c r="F44" s="117">
        <v>1000</v>
      </c>
      <c r="G44" s="118">
        <f>(((D44*(1+Parâmetros!B11)*(1+Parâmetros!C11)*(1+Parâmetros!D11))+(E44*(1+Parâmetros!C11)*(1+Parâmetros!D11)+(F44*(1+Parâmetros!D11))))/3)*(1+Parâmetros!E11)*(1+Parâmetros!E16)</f>
        <v>361.00760374279855</v>
      </c>
      <c r="H44" s="118">
        <f>G44*(1+Parâmetros!F11)*(1+Parâmetros!F16)</f>
        <v>363.0131699639179</v>
      </c>
      <c r="I44" s="118">
        <f>H44*(1+Parâmetros!G11)*(1+Parâmetros!G16)</f>
        <v>369.45435571078684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</row>
    <row r="45" spans="1:177" customFormat="1" ht="25.5">
      <c r="A45" s="115" t="s">
        <v>275</v>
      </c>
      <c r="B45" s="116" t="s">
        <v>276</v>
      </c>
      <c r="C45" s="97">
        <v>432701.04</v>
      </c>
      <c r="D45" s="97">
        <v>376099.13</v>
      </c>
      <c r="E45" s="117">
        <v>347561.39</v>
      </c>
      <c r="F45" s="117">
        <v>280000</v>
      </c>
      <c r="G45" s="118">
        <v>300000</v>
      </c>
      <c r="H45" s="118">
        <f>G45*(1+Parâmetros!F11)*(1+Parâmetros!F16)</f>
        <v>301666.64042556973</v>
      </c>
      <c r="I45" s="118">
        <f>H45*(1+Parâmetros!G11)*(1+Parâmetros!G16)</f>
        <v>307019.31362144346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</row>
    <row r="46" spans="1:177" customFormat="1" ht="25.5">
      <c r="A46" s="115" t="s">
        <v>277</v>
      </c>
      <c r="B46" s="116" t="s">
        <v>278</v>
      </c>
      <c r="C46" s="97">
        <v>1732956.12</v>
      </c>
      <c r="D46" s="97">
        <v>2023067.89</v>
      </c>
      <c r="E46" s="117">
        <v>1986715.57</v>
      </c>
      <c r="F46" s="117">
        <v>1916000</v>
      </c>
      <c r="G46" s="118">
        <v>1900000</v>
      </c>
      <c r="H46" s="118">
        <f>G46*(1+Parâmetros!F11)</f>
        <v>1976380</v>
      </c>
      <c r="I46" s="118">
        <f>H46*(1+Parâmetros!G11)</f>
        <v>2054249.3720000002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</row>
    <row r="47" spans="1:177" customFormat="1" ht="25.5">
      <c r="A47" s="115" t="s">
        <v>279</v>
      </c>
      <c r="B47" s="116" t="s">
        <v>280</v>
      </c>
      <c r="C47" s="97">
        <v>183873.88</v>
      </c>
      <c r="D47" s="97">
        <v>205298.76</v>
      </c>
      <c r="E47" s="117">
        <v>266000.48</v>
      </c>
      <c r="F47" s="117">
        <v>151000</v>
      </c>
      <c r="G47" s="118">
        <f>(((D47*(1+Parâmetros!B11)*(1+Parâmetros!C11)*(1+Parâmetros!D11))+(E47*(1+Parâmetros!C11)*(1+Parâmetros!D11)+(F47*(1+Parâmetros!D11))))/3)*(1+Parâmetros!E11)</f>
        <v>235064.22597227464</v>
      </c>
      <c r="H47" s="118">
        <f>G47*(1+Parâmetros!F11)</f>
        <v>244513.80785636007</v>
      </c>
      <c r="I47" s="118">
        <f>H47*(1+Parâmetros!G11)</f>
        <v>254147.65188590068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</row>
    <row r="48" spans="1:177" customFormat="1" ht="25.5">
      <c r="A48" s="115" t="s">
        <v>281</v>
      </c>
      <c r="B48" s="116" t="s">
        <v>282</v>
      </c>
      <c r="C48" s="97">
        <v>1709154.07</v>
      </c>
      <c r="D48" s="97">
        <f>370544+1346097+0.27</f>
        <v>1716641.27</v>
      </c>
      <c r="E48" s="117">
        <v>1910977.01</v>
      </c>
      <c r="F48" s="117">
        <v>1900000</v>
      </c>
      <c r="G48" s="118">
        <f>(((D48*(1+Parâmetros!B11)*(1+Parâmetros!C11)*(1+Parâmetros!D11))+(E48*(1+Parâmetros!C11)*(1+Parâmetros!D11)+(F48*(1+Parâmetros!D11))))/3)*(1+Parâmetros!E11)</f>
        <v>2077593.4755607434</v>
      </c>
      <c r="H48" s="118">
        <f>G48*(1+Parâmetros!F11)</f>
        <v>2161112.7332782852</v>
      </c>
      <c r="I48" s="118">
        <f>H48*(1+Parâmetros!G11)</f>
        <v>2246260.57496945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</row>
    <row r="49" spans="1:177" customFormat="1" ht="12.75">
      <c r="A49" s="115" t="s">
        <v>283</v>
      </c>
      <c r="B49" s="116" t="s">
        <v>284</v>
      </c>
      <c r="C49" s="97">
        <v>101639.28</v>
      </c>
      <c r="D49" s="97">
        <v>98714.880000000005</v>
      </c>
      <c r="E49" s="117">
        <v>100042.92</v>
      </c>
      <c r="F49" s="117">
        <v>100000</v>
      </c>
      <c r="G49" s="118">
        <f>(((D49*(1+Parâmetros!B11)*(1+Parâmetros!C11)*(1+Parâmetros!D11))+(E49*(1+Parâmetros!C11)*(1+Parâmetros!D11)+(F49*(1+Parâmetros!D11))))/3)*(1+Parâmetros!E11)*(1+Parâmetros!E16)</f>
        <v>112995.98322145388</v>
      </c>
      <c r="H49" s="118">
        <f>G49*(1+Parâmetros!F11)*(1+Parâmetros!F16)</f>
        <v>113623.72880000013</v>
      </c>
      <c r="I49" s="118">
        <f>H49*(1+Parâmetros!G11)*(1+Parâmetros!G16)</f>
        <v>115639.83070210305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</row>
    <row r="50" spans="1:177" customFormat="1" ht="12.75">
      <c r="A50" s="115" t="s">
        <v>285</v>
      </c>
      <c r="B50" s="116" t="s">
        <v>286</v>
      </c>
      <c r="C50" s="97">
        <v>83918.720000000001</v>
      </c>
      <c r="D50" s="97">
        <f>178146.75</f>
        <v>178146.75</v>
      </c>
      <c r="E50" s="117">
        <v>0</v>
      </c>
      <c r="F50" s="117">
        <v>0</v>
      </c>
      <c r="G50" s="118">
        <f>(((D50*(1+Parâmetros!B11)*(1+Parâmetros!C11)*(1+Parâmetros!D11))+(E50*(1+Parâmetros!C11)*(1+Parâmetros!D11)+(F50*(1+Parâmetros!D11))))/3)*(1+Parâmetros!E11)</f>
        <v>70704.923285467667</v>
      </c>
      <c r="H50" s="118">
        <f>G50*(1+Parâmetros!F11)</f>
        <v>73547.261201543472</v>
      </c>
      <c r="I50" s="118">
        <f>H50*(1+Parâmetros!G11)</f>
        <v>76445.023292884289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</row>
    <row r="51" spans="1:177" s="7" customFormat="1" ht="25.5">
      <c r="A51" s="112" t="s">
        <v>287</v>
      </c>
      <c r="B51" s="113" t="s">
        <v>288</v>
      </c>
      <c r="C51" s="114">
        <f t="shared" ref="C51:I51" si="10">C52+C53+C54+C55+C56+C57+C58+C59+C60</f>
        <v>19709028.350000001</v>
      </c>
      <c r="D51" s="114">
        <f t="shared" si="10"/>
        <v>21428064.559999999</v>
      </c>
      <c r="E51" s="114">
        <f t="shared" si="10"/>
        <v>21444099.629999999</v>
      </c>
      <c r="F51" s="114">
        <f t="shared" si="10"/>
        <v>23287000</v>
      </c>
      <c r="G51" s="114">
        <f t="shared" si="10"/>
        <v>24163427.038378146</v>
      </c>
      <c r="H51" s="114">
        <f t="shared" si="10"/>
        <v>24932343.028304558</v>
      </c>
      <c r="I51" s="114">
        <f t="shared" si="10"/>
        <v>26003178.720726456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</row>
    <row r="52" spans="1:177" customFormat="1" ht="12.75">
      <c r="A52" s="115" t="s">
        <v>289</v>
      </c>
      <c r="B52" s="116" t="s">
        <v>290</v>
      </c>
      <c r="C52" s="97">
        <v>14088654.33</v>
      </c>
      <c r="D52" s="97">
        <v>15178940.470000001</v>
      </c>
      <c r="E52" s="117">
        <v>16139960.4</v>
      </c>
      <c r="F52" s="117">
        <v>17000000</v>
      </c>
      <c r="G52" s="118">
        <v>17500000</v>
      </c>
      <c r="H52" s="118">
        <f>G52*(1+Parâmetros!F11)*(1+Parâmetros!F17)</f>
        <v>18052439.332550194</v>
      </c>
      <c r="I52" s="118">
        <f>H52*(1+Parâmetros!G11)*(1+Parâmetros!G17)</f>
        <v>18829740.649365067</v>
      </c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</row>
    <row r="53" spans="1:177" customFormat="1" ht="12.75">
      <c r="A53" s="115" t="s">
        <v>293</v>
      </c>
      <c r="B53" s="116" t="s">
        <v>294</v>
      </c>
      <c r="C53" s="97">
        <v>4680225.1900000004</v>
      </c>
      <c r="D53" s="97">
        <v>5457975.5700000003</v>
      </c>
      <c r="E53" s="117">
        <v>4346780.28</v>
      </c>
      <c r="F53" s="117">
        <v>5000000</v>
      </c>
      <c r="G53" s="118">
        <f>(((D53*(1+Parâmetros!B11)*(1+Parâmetros!C11)*(1+Parâmetros!D11))+(E53*(1+Parâmetros!C11)*(1+Parâmetros!D11)+(F53*(1+Parâmetros!D11))))/3)*(1+Parâmetros!E11)*(1+Parâmetros!E17)</f>
        <v>5635396.4871582845</v>
      </c>
      <c r="H53" s="118">
        <f>G53*(1+Parâmetros!F11)*(1+Parâmetros!F17)</f>
        <v>5813294.4685309371</v>
      </c>
      <c r="I53" s="118">
        <f>H53*(1+Parâmetros!G11)*(1+Parâmetros!G17)</f>
        <v>6063603.1034019124</v>
      </c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</row>
    <row r="54" spans="1:177" customFormat="1" ht="12.75">
      <c r="A54" s="115" t="s">
        <v>295</v>
      </c>
      <c r="B54" s="116" t="s">
        <v>296</v>
      </c>
      <c r="C54" s="97">
        <v>272449.91999999998</v>
      </c>
      <c r="D54" s="97">
        <v>189891.99</v>
      </c>
      <c r="E54" s="117">
        <v>244150.67</v>
      </c>
      <c r="F54" s="117">
        <v>230000</v>
      </c>
      <c r="G54" s="118">
        <f>(((D54*(1+Parâmetros!B11)*(1+Parâmetros!C11)*(1+Parâmetros!D11))+(E54*(1+Parâmetros!C11)*(1+Parâmetros!D11)+(F54*(1+Parâmetros!D11))))/3)*(1+Parâmetros!E11)*(1+Parâmetros!E17)</f>
        <v>251383.59816933342</v>
      </c>
      <c r="H54" s="118">
        <f>G54*(1+Parâmetros!F11)*(1+Parâmetros!F17)</f>
        <v>259319.2660085753</v>
      </c>
      <c r="I54" s="118">
        <f>H54*(1+Parâmetros!G11)*(1+Parâmetros!G17)</f>
        <v>270485.02611615724</v>
      </c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</row>
    <row r="55" spans="1:177" customFormat="1" ht="12.75">
      <c r="A55" s="115" t="s">
        <v>297</v>
      </c>
      <c r="B55" s="116" t="s">
        <v>298</v>
      </c>
      <c r="C55" s="97">
        <v>29360.04</v>
      </c>
      <c r="D55" s="97">
        <v>50725.46</v>
      </c>
      <c r="E55" s="117">
        <v>70968.33</v>
      </c>
      <c r="F55" s="117">
        <v>55000</v>
      </c>
      <c r="G55" s="118">
        <f>(((D55*(1+Parâmetros!B11)*(1+Parâmetros!C11)*(1+Parâmetros!D11))+(E55*(1+Parâmetros!C11)*(1+Parâmetros!D11)+(F55*(1+Parâmetros!D11))))/3)*(1+Parâmetros!E11)*(1+Parâmetros!E17)</f>
        <v>66982.946429853255</v>
      </c>
      <c r="H55" s="118">
        <f>G55*(1+Parâmetros!F11)*(1+Parâmetros!F17)</f>
        <v>69097.461528022017</v>
      </c>
      <c r="I55" s="118">
        <f>H55*(1+Parâmetros!G11)*(1+Parâmetros!G17)</f>
        <v>72072.657668825734</v>
      </c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</row>
    <row r="56" spans="1:177" customFormat="1" ht="12.75">
      <c r="A56" s="115" t="s">
        <v>299</v>
      </c>
      <c r="B56" s="116" t="s">
        <v>300</v>
      </c>
      <c r="C56" s="97"/>
      <c r="D56" s="97"/>
      <c r="E56" s="117">
        <v>0</v>
      </c>
      <c r="F56" s="117">
        <v>0</v>
      </c>
      <c r="G56" s="118">
        <f>(((D56*(1+Parâmetros!B11)*(1+Parâmetros!C11)*(1+Parâmetros!D11))+(E56*(1+Parâmetros!C11)*(1+Parâmetros!D11)+(F56*(1+Parâmetros!D11))))/3)*(1+Parâmetros!E11)</f>
        <v>0</v>
      </c>
      <c r="H56" s="118">
        <f>G56*(1+Parâmetros!F11)</f>
        <v>0</v>
      </c>
      <c r="I56" s="118">
        <f>H56*(1+Parâmetros!G11)</f>
        <v>0</v>
      </c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</row>
    <row r="57" spans="1:177" customFormat="1" ht="12.75">
      <c r="A57" s="115" t="s">
        <v>301</v>
      </c>
      <c r="B57" s="116" t="s">
        <v>302</v>
      </c>
      <c r="C57" s="117">
        <v>61939.69</v>
      </c>
      <c r="D57" s="117">
        <v>50625.21</v>
      </c>
      <c r="E57" s="117">
        <v>21677.17</v>
      </c>
      <c r="F57" s="117">
        <v>0</v>
      </c>
      <c r="G57" s="118">
        <f>(((D57*(1+Parâmetros!B11)*(1+Parâmetros!C11)*(1+Parâmetros!D11))+(E57*(1+Parâmetros!C11)*(1+Parâmetros!D11)+(F57*(1+Parâmetros!D11))))/3)*(1+Parâmetros!E11)</f>
        <v>28187.062435827022</v>
      </c>
      <c r="H57" s="118">
        <f>G57*(1+Parâmetros!F11)</f>
        <v>29320.182345747267</v>
      </c>
      <c r="I57" s="118">
        <f>H57*(1+Parâmetros!G11)</f>
        <v>30475.397530169714</v>
      </c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</row>
    <row r="58" spans="1:177" customFormat="1" ht="25.5">
      <c r="A58" s="115" t="s">
        <v>303</v>
      </c>
      <c r="B58" s="116" t="s">
        <v>304</v>
      </c>
      <c r="C58" s="97">
        <v>410181.45</v>
      </c>
      <c r="D58" s="97">
        <v>378256.99</v>
      </c>
      <c r="E58" s="117">
        <v>448614.33</v>
      </c>
      <c r="F58" s="117">
        <v>810000</v>
      </c>
      <c r="G58" s="118">
        <v>500000</v>
      </c>
      <c r="H58" s="118">
        <f>G58*(1+Parâmetros!F11)</f>
        <v>520100</v>
      </c>
      <c r="I58" s="118">
        <f>H58*(1+Parâmetros!G11)</f>
        <v>540591.94000000006</v>
      </c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</row>
    <row r="59" spans="1:177" customFormat="1" ht="25.5">
      <c r="A59" s="115" t="s">
        <v>305</v>
      </c>
      <c r="B59" s="116" t="s">
        <v>306</v>
      </c>
      <c r="C59" s="98">
        <v>166217.73000000001</v>
      </c>
      <c r="D59" s="97">
        <v>121648.87</v>
      </c>
      <c r="E59" s="117">
        <v>171948.45</v>
      </c>
      <c r="F59" s="117">
        <v>172000</v>
      </c>
      <c r="G59" s="118">
        <f>(((D59*(1+Parâmetros!B11)*(1+Parâmetros!C11)*(1+Parâmetros!D11))+(E59*(1+Parâmetros!C11)*(1+Parâmetros!D11)+(F59*(1+Parâmetros!D11))))/3)*(1+Parâmetros!E11)</f>
        <v>174290.56378484934</v>
      </c>
      <c r="H59" s="118">
        <f>G59*(1+Parâmetros!F11)</f>
        <v>181297.04444900027</v>
      </c>
      <c r="I59" s="118">
        <f>H59*(1+Parâmetros!G11)</f>
        <v>188440.14800029091</v>
      </c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</row>
    <row r="60" spans="1:177" customFormat="1" ht="12.75">
      <c r="A60" s="115" t="s">
        <v>307</v>
      </c>
      <c r="B60" s="116" t="s">
        <v>302</v>
      </c>
      <c r="C60" s="117">
        <v>0</v>
      </c>
      <c r="D60" s="117">
        <v>0</v>
      </c>
      <c r="E60" s="117">
        <v>0</v>
      </c>
      <c r="F60" s="117">
        <v>20000</v>
      </c>
      <c r="G60" s="118">
        <f>(((D60*(1+Parâmetros!B11)*(1+Parâmetros!C11)*(1+Parâmetros!D11))+(E60*(1+Parâmetros!C11)*(1+Parâmetros!D11)+(F60*(1+Parâmetros!D11))))/3)*(1+Parâmetros!E11)</f>
        <v>7186.3803999999991</v>
      </c>
      <c r="H60" s="118">
        <f>G60*(1+Parâmetros!F11)</f>
        <v>7475.2728920799991</v>
      </c>
      <c r="I60" s="118">
        <f>H60*(1+Parâmetros!G11)</f>
        <v>7769.7986440279519</v>
      </c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</row>
    <row r="61" spans="1:177" customFormat="1" ht="12.75">
      <c r="A61" s="115" t="s">
        <v>308</v>
      </c>
      <c r="B61" s="116" t="s">
        <v>309</v>
      </c>
      <c r="C61" s="117">
        <v>0</v>
      </c>
      <c r="D61" s="117">
        <v>0</v>
      </c>
      <c r="E61" s="117">
        <v>0</v>
      </c>
      <c r="F61" s="117">
        <v>0</v>
      </c>
      <c r="G61" s="118">
        <f>(((D61*(1+Parâmetros!B11)*(1+Parâmetros!C11)*(1+Parâmetros!D11))+(E61*(1+Parâmetros!C11)*(1+Parâmetros!D11)+(F61*(1+Parâmetros!D11))))/3)*(1+Parâmetros!E11)</f>
        <v>0</v>
      </c>
      <c r="H61" s="118">
        <f>G61*(1+Parâmetros!F11)</f>
        <v>0</v>
      </c>
      <c r="I61" s="118">
        <f>H61*(1+Parâmetros!G11)</f>
        <v>0</v>
      </c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</row>
    <row r="62" spans="1:177" customFormat="1" ht="12.75">
      <c r="A62" s="115" t="s">
        <v>310</v>
      </c>
      <c r="B62" s="116" t="s">
        <v>311</v>
      </c>
      <c r="C62" s="117">
        <v>0</v>
      </c>
      <c r="D62" s="117">
        <v>0</v>
      </c>
      <c r="E62" s="117">
        <v>0</v>
      </c>
      <c r="F62" s="117">
        <v>0</v>
      </c>
      <c r="G62" s="118">
        <f>(((D62*(1+Parâmetros!B11)*(1+Parâmetros!C11)*(1+Parâmetros!D11))+(E62*(1+Parâmetros!C11)*(1+Parâmetros!D11)+(F62*(1+Parâmetros!D11))))/3)*(1+Parâmetros!E11)</f>
        <v>0</v>
      </c>
      <c r="H62" s="118">
        <f>G62*(1+Parâmetros!F11)</f>
        <v>0</v>
      </c>
      <c r="I62" s="118">
        <f>H62*(1+Parâmetros!G11)</f>
        <v>0</v>
      </c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</row>
    <row r="63" spans="1:177" customFormat="1" ht="12.75">
      <c r="A63" s="115" t="s">
        <v>405</v>
      </c>
      <c r="B63" s="116" t="s">
        <v>406</v>
      </c>
      <c r="C63" s="97">
        <v>13478214.43</v>
      </c>
      <c r="D63" s="97">
        <v>15651317.75</v>
      </c>
      <c r="E63" s="117">
        <v>17266910.25</v>
      </c>
      <c r="F63" s="117">
        <v>17900000</v>
      </c>
      <c r="G63" s="118">
        <v>18000000</v>
      </c>
      <c r="H63" s="118">
        <f>G63*(1+Parâmetros!F11)*(1+Parâmetros!F16)</f>
        <v>18099998.425534185</v>
      </c>
      <c r="I63" s="118">
        <f>H63*(1+Parâmetros!G11)*(1+Parâmetros!G16)</f>
        <v>18421158.817286607</v>
      </c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</row>
    <row r="64" spans="1:177" customFormat="1" ht="12.75">
      <c r="A64" s="115" t="s">
        <v>313</v>
      </c>
      <c r="B64" s="116" t="s">
        <v>314</v>
      </c>
      <c r="C64" s="98"/>
      <c r="D64" s="97"/>
      <c r="E64" s="117">
        <v>0</v>
      </c>
      <c r="F64" s="117">
        <v>0</v>
      </c>
      <c r="G64" s="118">
        <f>(((D64*(1+Parâmetros!B11)*(1+Parâmetros!C11)*(1+Parâmetros!D11))+(E64*(1+Parâmetros!C11)*(1+Parâmetros!D11)+(F64*(1+Parâmetros!D11))))/3)*(1+Parâmetros!E11)</f>
        <v>0</v>
      </c>
      <c r="H64" s="118">
        <f>G64*(1+Parâmetros!F11)</f>
        <v>0</v>
      </c>
      <c r="I64" s="118">
        <f>H64*(1+Parâmetros!G11)</f>
        <v>0</v>
      </c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</row>
    <row r="65" spans="1:177" customFormat="1" ht="12.75">
      <c r="A65" s="115" t="s">
        <v>315</v>
      </c>
      <c r="B65" s="116" t="s">
        <v>316</v>
      </c>
      <c r="C65" s="117">
        <v>0</v>
      </c>
      <c r="D65" s="117">
        <v>0</v>
      </c>
      <c r="E65" s="117">
        <v>0</v>
      </c>
      <c r="F65" s="117">
        <v>0</v>
      </c>
      <c r="G65" s="118">
        <f>(((D65*(1+Parâmetros!B11)*(1+Parâmetros!C11)*(1+Parâmetros!D11))+(E65*(1+Parâmetros!C11)*(1+Parâmetros!D11)+(F65*(1+Parâmetros!D11))))/3)*(1+Parâmetros!E11)</f>
        <v>0</v>
      </c>
      <c r="H65" s="118">
        <f>G65*(1+Parâmetros!F11)</f>
        <v>0</v>
      </c>
      <c r="I65" s="118">
        <f>H65*(1+Parâmetros!G11)</f>
        <v>0</v>
      </c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</row>
    <row r="66" spans="1:177" s="7" customFormat="1" ht="12.75">
      <c r="A66" s="112" t="s">
        <v>317</v>
      </c>
      <c r="B66" s="113" t="s">
        <v>318</v>
      </c>
      <c r="C66" s="114">
        <f t="shared" ref="C66:I66" si="11">C67+C68+C71</f>
        <v>1194450.28</v>
      </c>
      <c r="D66" s="114">
        <f t="shared" si="11"/>
        <v>798178.67</v>
      </c>
      <c r="E66" s="114">
        <f t="shared" si="11"/>
        <v>2297977.06</v>
      </c>
      <c r="F66" s="114">
        <f t="shared" si="11"/>
        <v>77000</v>
      </c>
      <c r="G66" s="114">
        <f t="shared" si="11"/>
        <v>102874.55215999999</v>
      </c>
      <c r="H66" s="114">
        <f t="shared" si="11"/>
        <v>106794.109156832</v>
      </c>
      <c r="I66" s="114">
        <f t="shared" si="11"/>
        <v>110731.59705761119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</row>
    <row r="67" spans="1:177" customFormat="1" ht="12.75">
      <c r="A67" s="115" t="s">
        <v>319</v>
      </c>
      <c r="B67" s="116" t="s">
        <v>320</v>
      </c>
      <c r="C67" s="97">
        <v>1194450.28</v>
      </c>
      <c r="D67" s="97">
        <v>798178.67</v>
      </c>
      <c r="E67" s="117">
        <v>1769339.66</v>
      </c>
      <c r="F67" s="117">
        <v>20000</v>
      </c>
      <c r="G67" s="118">
        <v>20000</v>
      </c>
      <c r="H67" s="118">
        <f>G67*(1+Parâmetros!F11)</f>
        <v>20804</v>
      </c>
      <c r="I67" s="118">
        <f>H67*(1+Parâmetros!G11)</f>
        <v>21623.677600000003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</row>
    <row r="68" spans="1:177" customFormat="1" ht="12.75">
      <c r="A68" s="123" t="s">
        <v>321</v>
      </c>
      <c r="B68" s="124" t="s">
        <v>322</v>
      </c>
      <c r="C68" s="125">
        <f t="shared" ref="C68:I68" si="12">C69+C70</f>
        <v>0</v>
      </c>
      <c r="D68" s="125">
        <f t="shared" si="12"/>
        <v>0</v>
      </c>
      <c r="E68" s="125">
        <f t="shared" si="12"/>
        <v>0</v>
      </c>
      <c r="F68" s="125">
        <f t="shared" si="12"/>
        <v>8000</v>
      </c>
      <c r="G68" s="125">
        <f t="shared" si="12"/>
        <v>2874.5521599999997</v>
      </c>
      <c r="H68" s="125">
        <f t="shared" si="12"/>
        <v>2990.1091568319998</v>
      </c>
      <c r="I68" s="125">
        <f t="shared" si="12"/>
        <v>3107.9194576111809</v>
      </c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</row>
    <row r="69" spans="1:177" customFormat="1" ht="12.75">
      <c r="A69" s="115" t="s">
        <v>527</v>
      </c>
      <c r="B69" s="116" t="s">
        <v>528</v>
      </c>
      <c r="C69" s="117">
        <v>0</v>
      </c>
      <c r="D69" s="117">
        <v>0</v>
      </c>
      <c r="E69" s="117">
        <v>0</v>
      </c>
      <c r="F69" s="117">
        <v>0</v>
      </c>
      <c r="G69" s="125">
        <f>(((D69*(1+Parâmetros!B11)*(1+Parâmetros!C11)*(1+Parâmetros!D11))+(E69*(1+Parâmetros!C11)*(1+Parâmetros!D11)+(F69*(1+Parâmetros!D11))))/3)*(1+Parâmetros!E11)</f>
        <v>0</v>
      </c>
      <c r="H69" s="125">
        <f>G69*(1+Parâmetros!F11)</f>
        <v>0</v>
      </c>
      <c r="I69" s="125">
        <f>H69*(1+Parâmetros!G11)</f>
        <v>0</v>
      </c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</row>
    <row r="70" spans="1:177" customFormat="1" ht="12.75">
      <c r="A70" s="115" t="s">
        <v>529</v>
      </c>
      <c r="B70" s="116" t="s">
        <v>530</v>
      </c>
      <c r="C70" s="117">
        <v>0</v>
      </c>
      <c r="D70" s="117">
        <v>0</v>
      </c>
      <c r="E70" s="117">
        <v>0</v>
      </c>
      <c r="F70" s="117">
        <v>8000</v>
      </c>
      <c r="G70" s="125">
        <f>(((D70*(1+Parâmetros!B11)*(1+Parâmetros!C11)*(1+Parâmetros!D11))+(E70*(1+Parâmetros!C11)*(1+Parâmetros!D11)+(F70*(1+Parâmetros!D11))))/3)*(1+Parâmetros!E11)</f>
        <v>2874.5521599999997</v>
      </c>
      <c r="H70" s="125">
        <f>G70*(1+Parâmetros!F11)</f>
        <v>2990.1091568319998</v>
      </c>
      <c r="I70" s="125">
        <f>H70*(1+Parâmetros!G11)</f>
        <v>3107.9194576111809</v>
      </c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</row>
    <row r="71" spans="1:177" s="7" customFormat="1" ht="12.75">
      <c r="A71" s="112" t="s">
        <v>323</v>
      </c>
      <c r="B71" s="113" t="s">
        <v>324</v>
      </c>
      <c r="C71" s="114">
        <f t="shared" ref="C71:F71" si="13">C72+C73+C74+C75+C76+C77</f>
        <v>0</v>
      </c>
      <c r="D71" s="114">
        <f t="shared" si="13"/>
        <v>0</v>
      </c>
      <c r="E71" s="114">
        <f t="shared" si="13"/>
        <v>528637.4</v>
      </c>
      <c r="F71" s="114">
        <f t="shared" si="13"/>
        <v>49000</v>
      </c>
      <c r="G71" s="114">
        <v>80000</v>
      </c>
      <c r="H71" s="114">
        <v>83000</v>
      </c>
      <c r="I71" s="114">
        <v>86000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</row>
    <row r="72" spans="1:177" customFormat="1" ht="25.5">
      <c r="A72" s="115" t="s">
        <v>325</v>
      </c>
      <c r="B72" s="116" t="s">
        <v>326</v>
      </c>
      <c r="C72" s="117">
        <v>0</v>
      </c>
      <c r="D72" s="117">
        <v>0</v>
      </c>
      <c r="E72" s="117">
        <v>0</v>
      </c>
      <c r="F72" s="117">
        <v>0</v>
      </c>
      <c r="G72" s="118">
        <f>(((D72*(1+Parâmetros!B11)*(1+Parâmetros!C11)*(1+Parâmetros!D11))+(E72*(1+Parâmetros!C11)*(1+Parâmetros!D11)+(F72*(1+Parâmetros!D11))))/3)*(1+Parâmetros!E11)</f>
        <v>0</v>
      </c>
      <c r="H72" s="118">
        <f>G72*(1+Parâmetros!F11)</f>
        <v>0</v>
      </c>
      <c r="I72" s="118">
        <f>H72*(1+Parâmetros!G11)</f>
        <v>0</v>
      </c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</row>
    <row r="73" spans="1:177" customFormat="1" ht="12.75">
      <c r="A73" s="115" t="s">
        <v>327</v>
      </c>
      <c r="B73" s="116" t="s">
        <v>328</v>
      </c>
      <c r="C73" s="117"/>
      <c r="D73" s="117"/>
      <c r="E73" s="117"/>
      <c r="F73" s="117"/>
      <c r="G73" s="118">
        <f>(((D73*(1+Parâmetros!B11)*(1+Parâmetros!C11)*(1+Parâmetros!D11))+(E73*(1+Parâmetros!C11)*(1+Parâmetros!D11)+(F73*(1+Parâmetros!D11))))/3)*(1+Parâmetros!E11)</f>
        <v>0</v>
      </c>
      <c r="H73" s="118">
        <f>G73*(1+Parâmetros!F11)</f>
        <v>0</v>
      </c>
      <c r="I73" s="118">
        <f>H73*(1+Parâmetros!G11)</f>
        <v>0</v>
      </c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</row>
    <row r="74" spans="1:177" customFormat="1" ht="12.75">
      <c r="A74" s="115" t="s">
        <v>531</v>
      </c>
      <c r="B74" s="116" t="s">
        <v>532</v>
      </c>
      <c r="C74" s="117">
        <v>0</v>
      </c>
      <c r="D74" s="117">
        <v>0</v>
      </c>
      <c r="E74" s="117">
        <v>0</v>
      </c>
      <c r="F74" s="117">
        <v>0</v>
      </c>
      <c r="G74" s="118">
        <f>((C74+D74+E74+F74)/4)/Parâmetros!D22*Parâmetros!E22</f>
        <v>0</v>
      </c>
      <c r="H74" s="118">
        <f>((D74+E74+F74+G74)/4)/Parâmetros!E22*Parâmetros!F22</f>
        <v>0</v>
      </c>
      <c r="I74" s="118">
        <f>((E74+F74+G74+H74)/4)/Parâmetros!F22*Parâmetros!G22</f>
        <v>0</v>
      </c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</row>
    <row r="75" spans="1:177" customFormat="1" ht="25.5">
      <c r="A75" s="115" t="s">
        <v>329</v>
      </c>
      <c r="B75" s="116" t="s">
        <v>330</v>
      </c>
      <c r="C75" s="117">
        <v>0</v>
      </c>
      <c r="D75" s="117">
        <v>0</v>
      </c>
      <c r="E75" s="117">
        <v>0</v>
      </c>
      <c r="F75" s="117">
        <v>0</v>
      </c>
      <c r="G75" s="118">
        <f>(((D75*(1+Parâmetros!B11)*(1+Parâmetros!C11)*(1+Parâmetros!D11))+(E75*(1+Parâmetros!C11)*(1+Parâmetros!D11)+(F75*(1+Parâmetros!D11))))/3)*(1+Parâmetros!E11)</f>
        <v>0</v>
      </c>
      <c r="H75" s="118">
        <f>G75*(1+Parâmetros!F11)</f>
        <v>0</v>
      </c>
      <c r="I75" s="118">
        <f>H75*(1+Parâmetros!G11)</f>
        <v>0</v>
      </c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</row>
    <row r="76" spans="1:177" customFormat="1" ht="12.75">
      <c r="A76" s="115" t="s">
        <v>533</v>
      </c>
      <c r="B76" s="116" t="s">
        <v>534</v>
      </c>
      <c r="C76" s="117">
        <v>0</v>
      </c>
      <c r="D76" s="117">
        <v>0</v>
      </c>
      <c r="E76" s="117">
        <v>0</v>
      </c>
      <c r="F76" s="117">
        <v>0</v>
      </c>
      <c r="G76" s="118">
        <f>((C76+D76+E76+F76)/4)*(1+Parâmetros!E11)</f>
        <v>0</v>
      </c>
      <c r="H76" s="118">
        <f>((D76+E76+F76+G76)/4)*(1+Parâmetros!F11)</f>
        <v>0</v>
      </c>
      <c r="I76" s="118">
        <f>((E76+F76+G76+H76)/4)*(1+Parâmetros!G11)</f>
        <v>0</v>
      </c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</row>
    <row r="77" spans="1:177" customFormat="1" ht="12.75">
      <c r="A77" s="115" t="s">
        <v>331</v>
      </c>
      <c r="B77" s="116" t="s">
        <v>535</v>
      </c>
      <c r="C77" s="117"/>
      <c r="D77" s="117"/>
      <c r="E77" s="117">
        <v>528637.4</v>
      </c>
      <c r="F77" s="117">
        <v>49000</v>
      </c>
      <c r="G77" s="118">
        <f>(((D77*(1+Parâmetros!B11)*(1+Parâmetros!C11)*(1+Parâmetros!D11))+(E77*(1+Parâmetros!C11)*(1+Parâmetros!D11)+(F77*(1+Parâmetros!D11))))/3)*(1+Parâmetros!E11)</f>
        <v>215002.1238054792</v>
      </c>
      <c r="H77" s="118">
        <f>G77*(1+Parâmetros!F11)</f>
        <v>223645.20918245948</v>
      </c>
      <c r="I77" s="118">
        <f>H77*(1+Parâmetros!G11)</f>
        <v>232456.83042424842</v>
      </c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</row>
    <row r="78" spans="1:177" s="10" customFormat="1" ht="18">
      <c r="A78" s="112" t="s">
        <v>332</v>
      </c>
      <c r="B78" s="113" t="s">
        <v>333</v>
      </c>
      <c r="C78" s="114">
        <f t="shared" ref="C78:I78" si="14">C79+C80+C85+C86+C94</f>
        <v>979060.1</v>
      </c>
      <c r="D78" s="114">
        <f t="shared" si="14"/>
        <v>3104631.63</v>
      </c>
      <c r="E78" s="114">
        <f t="shared" si="14"/>
        <v>486414.4</v>
      </c>
      <c r="F78" s="114">
        <f t="shared" si="14"/>
        <v>466000</v>
      </c>
      <c r="G78" s="114">
        <f t="shared" si="14"/>
        <v>26215.787601611868</v>
      </c>
      <c r="H78" s="114">
        <f t="shared" si="14"/>
        <v>27297.539623196666</v>
      </c>
      <c r="I78" s="114">
        <f t="shared" si="14"/>
        <v>28402.370898001398</v>
      </c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</row>
    <row r="79" spans="1:177" s="54" customFormat="1" ht="12.75">
      <c r="A79" s="115" t="s">
        <v>334</v>
      </c>
      <c r="B79" s="116" t="s">
        <v>335</v>
      </c>
      <c r="C79" s="117">
        <v>0</v>
      </c>
      <c r="D79" s="97">
        <v>2186466.38</v>
      </c>
      <c r="E79" s="117">
        <v>49302.58</v>
      </c>
      <c r="F79" s="117">
        <v>1000</v>
      </c>
      <c r="G79" s="118">
        <f>Dívida!E20</f>
        <v>0</v>
      </c>
      <c r="H79" s="118">
        <f>Dívida!F20</f>
        <v>0</v>
      </c>
      <c r="I79" s="118">
        <f>Dívida!G20</f>
        <v>0</v>
      </c>
    </row>
    <row r="80" spans="1:177" s="7" customFormat="1" ht="12.75">
      <c r="A80" s="112" t="s">
        <v>336</v>
      </c>
      <c r="B80" s="113" t="s">
        <v>337</v>
      </c>
      <c r="C80" s="114">
        <f t="shared" ref="C80:I80" si="15">C81+C82+C83+C84</f>
        <v>82265</v>
      </c>
      <c r="D80" s="114">
        <f t="shared" si="15"/>
        <v>0</v>
      </c>
      <c r="E80" s="114">
        <f t="shared" si="15"/>
        <v>0</v>
      </c>
      <c r="F80" s="114">
        <f t="shared" si="15"/>
        <v>50000</v>
      </c>
      <c r="G80" s="114">
        <f t="shared" si="15"/>
        <v>0</v>
      </c>
      <c r="H80" s="114">
        <f t="shared" si="15"/>
        <v>0</v>
      </c>
      <c r="I80" s="114">
        <f t="shared" si="15"/>
        <v>0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</row>
    <row r="81" spans="1:177" s="7" customFormat="1" ht="12.75">
      <c r="A81" s="115" t="s">
        <v>537</v>
      </c>
      <c r="B81" s="116" t="s">
        <v>538</v>
      </c>
      <c r="C81" s="126">
        <v>0</v>
      </c>
      <c r="D81" s="126">
        <v>0</v>
      </c>
      <c r="E81" s="126">
        <v>0</v>
      </c>
      <c r="F81" s="126">
        <v>0</v>
      </c>
      <c r="G81" s="118">
        <f>((C81+D81+E81+F81)/4)*(1+Parâmetros!E11)</f>
        <v>0</v>
      </c>
      <c r="H81" s="118">
        <f>((D81+E81+F81+G81)/4)*(1+Parâmetros!F11)</f>
        <v>0</v>
      </c>
      <c r="I81" s="118">
        <f>((E81+F81+G81+H81)/4)*(1+Parâmetros!G11)</f>
        <v>0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</row>
    <row r="82" spans="1:177" s="7" customFormat="1" ht="12.75">
      <c r="A82" s="115" t="s">
        <v>539</v>
      </c>
      <c r="B82" s="116" t="s">
        <v>540</v>
      </c>
      <c r="C82" s="126">
        <v>0</v>
      </c>
      <c r="D82" s="126">
        <v>0</v>
      </c>
      <c r="E82" s="126">
        <v>0</v>
      </c>
      <c r="F82" s="126">
        <v>0</v>
      </c>
      <c r="G82" s="118">
        <f>((C82+D82+E82+F82)/4)*(1+Parâmetros!E11)</f>
        <v>0</v>
      </c>
      <c r="H82" s="118">
        <f>((D82+E82+F82+G82)/4)*(1+Parâmetros!F11)</f>
        <v>0</v>
      </c>
      <c r="I82" s="118">
        <f>((E82+F82+G82+H82)/4)*(1+Parâmetros!G11)</f>
        <v>0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</row>
    <row r="83" spans="1:177" s="54" customFormat="1" ht="12.75">
      <c r="A83" s="115" t="s">
        <v>338</v>
      </c>
      <c r="B83" s="116" t="s">
        <v>339</v>
      </c>
      <c r="C83" s="97">
        <v>82265</v>
      </c>
      <c r="D83" s="117">
        <v>0</v>
      </c>
      <c r="E83" s="117">
        <v>0</v>
      </c>
      <c r="F83" s="117">
        <v>50000</v>
      </c>
      <c r="G83" s="118">
        <v>0</v>
      </c>
      <c r="H83" s="118">
        <f>G83*(1+Parâmetros!F11)</f>
        <v>0</v>
      </c>
      <c r="I83" s="118">
        <f>H83*(1+Parâmetros!G11)</f>
        <v>0</v>
      </c>
    </row>
    <row r="84" spans="1:177" s="54" customFormat="1" ht="12.75">
      <c r="A84" s="115" t="s">
        <v>340</v>
      </c>
      <c r="B84" s="116" t="s">
        <v>341</v>
      </c>
      <c r="C84" s="117">
        <v>0</v>
      </c>
      <c r="D84" s="117">
        <v>0</v>
      </c>
      <c r="E84" s="117">
        <v>0</v>
      </c>
      <c r="F84" s="117">
        <v>0</v>
      </c>
      <c r="G84" s="118">
        <f>(((D84*(1+Parâmetros!B11)*(1+Parâmetros!C11)*(1+Parâmetros!D11))+(E84*(1+Parâmetros!C11)*(1+Parâmetros!D11)+(F84*(1+Parâmetros!D11))))/3)*(1+Parâmetros!E11)</f>
        <v>0</v>
      </c>
      <c r="H84" s="118">
        <f>G84*(1+Parâmetros!F11)</f>
        <v>0</v>
      </c>
      <c r="I84" s="118">
        <f>H84*(1+Parâmetros!G11)</f>
        <v>0</v>
      </c>
    </row>
    <row r="85" spans="1:177" s="54" customFormat="1" ht="12.75">
      <c r="A85" s="115" t="s">
        <v>342</v>
      </c>
      <c r="B85" s="116" t="s">
        <v>343</v>
      </c>
      <c r="C85" s="97">
        <v>29447.03</v>
      </c>
      <c r="D85" s="97">
        <v>27423.32</v>
      </c>
      <c r="E85" s="117">
        <v>23947.02</v>
      </c>
      <c r="F85" s="117">
        <v>15000</v>
      </c>
      <c r="G85" s="118">
        <f>(((D85*(1+Parâmetros!B11)*(1+Parâmetros!C11)*(1+Parâmetros!D11))+(E85*(1+Parâmetros!C11)*(1+Parâmetros!D11)+(F85*(1+Parâmetros!D11))))/3)*(1+Parâmetros!E11)</f>
        <v>25215.787601611868</v>
      </c>
      <c r="H85" s="118">
        <f>G85*(1+Parâmetros!F11)</f>
        <v>26229.462263196667</v>
      </c>
      <c r="I85" s="118">
        <f>H85*(1+Parâmetros!G11)</f>
        <v>27262.90307636662</v>
      </c>
    </row>
    <row r="86" spans="1:177" s="7" customFormat="1" ht="12.75">
      <c r="A86" s="112" t="s">
        <v>344</v>
      </c>
      <c r="B86" s="113" t="s">
        <v>345</v>
      </c>
      <c r="C86" s="114">
        <f t="shared" ref="C86:I86" si="16">C87+C88+C89+C90+C91+C92+C93</f>
        <v>867348.07</v>
      </c>
      <c r="D86" s="114">
        <f t="shared" si="16"/>
        <v>890741.93</v>
      </c>
      <c r="E86" s="114">
        <f t="shared" si="16"/>
        <v>413164.79999999999</v>
      </c>
      <c r="F86" s="114">
        <f t="shared" si="16"/>
        <v>400000</v>
      </c>
      <c r="G86" s="114">
        <f t="shared" si="16"/>
        <v>1000</v>
      </c>
      <c r="H86" s="114">
        <f t="shared" si="16"/>
        <v>1068.07736</v>
      </c>
      <c r="I86" s="114">
        <f t="shared" si="16"/>
        <v>1139.4678216347777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</row>
    <row r="87" spans="1:177" customFormat="1" ht="12.75">
      <c r="A87" s="115" t="s">
        <v>346</v>
      </c>
      <c r="B87" s="116" t="s">
        <v>266</v>
      </c>
      <c r="C87" s="97">
        <v>867348.07</v>
      </c>
      <c r="D87" s="97">
        <v>890741.93</v>
      </c>
      <c r="E87" s="117">
        <v>413164.79999999999</v>
      </c>
      <c r="F87" s="117">
        <v>400000</v>
      </c>
      <c r="G87" s="118">
        <v>1000</v>
      </c>
      <c r="H87" s="118">
        <f>G87*(1+Parâmetros!F11)*(1+Parâmetros!F12)</f>
        <v>1068.07736</v>
      </c>
      <c r="I87" s="118">
        <f>H87*(1+Parâmetros!G11)*(1+Parâmetros!G12)</f>
        <v>1139.4678216347777</v>
      </c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</row>
    <row r="88" spans="1:177" customFormat="1" ht="25.5">
      <c r="A88" s="115" t="s">
        <v>347</v>
      </c>
      <c r="B88" s="116" t="s">
        <v>288</v>
      </c>
      <c r="C88" s="117">
        <v>0</v>
      </c>
      <c r="D88" s="117">
        <v>0</v>
      </c>
      <c r="E88" s="117">
        <v>0</v>
      </c>
      <c r="F88" s="117">
        <v>0</v>
      </c>
      <c r="G88" s="118">
        <f>(((D88*(1+Parâmetros!B11)*(1+Parâmetros!C11)*(1+Parâmetros!D11))+(E88*(1+Parâmetros!C11)*(1+Parâmetros!D11)+(F88*(1+Parâmetros!D11))))/3)*(1+Parâmetros!E11)*(1+Parâmetros!E12)</f>
        <v>0</v>
      </c>
      <c r="H88" s="118">
        <f>G88*(1+Parâmetros!F11)*(1+Parâmetros!F12)</f>
        <v>0</v>
      </c>
      <c r="I88" s="118">
        <f>H88*(1+Parâmetros!G11)*(1+Parâmetros!G12)</f>
        <v>0</v>
      </c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</row>
    <row r="89" spans="1:177" customFormat="1" ht="12.75">
      <c r="A89" s="115" t="s">
        <v>348</v>
      </c>
      <c r="B89" s="116" t="s">
        <v>309</v>
      </c>
      <c r="C89" s="117">
        <v>0</v>
      </c>
      <c r="D89" s="117">
        <v>0</v>
      </c>
      <c r="E89" s="117">
        <v>0</v>
      </c>
      <c r="F89" s="117">
        <v>0</v>
      </c>
      <c r="G89" s="118">
        <f>(((D89*(1+Parâmetros!B11)*(1+Parâmetros!C11)*(1+Parâmetros!D11))+(E89*(1+Parâmetros!C11)*(1+Parâmetros!D11)+(F89*(1+Parâmetros!D11))))/3)*(1+Parâmetros!E11)*(1+Parâmetros!E12)</f>
        <v>0</v>
      </c>
      <c r="H89" s="118">
        <f>G89*(1+Parâmetros!F11)*(1+Parâmetros!F12)</f>
        <v>0</v>
      </c>
      <c r="I89" s="118">
        <f>H89*(1+Parâmetros!G11)*(1+Parâmetros!G12)</f>
        <v>0</v>
      </c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</row>
    <row r="90" spans="1:177" customFormat="1" ht="12.75">
      <c r="A90" s="115" t="s">
        <v>349</v>
      </c>
      <c r="B90" s="116" t="s">
        <v>311</v>
      </c>
      <c r="C90" s="117">
        <v>0</v>
      </c>
      <c r="D90" s="117">
        <v>0</v>
      </c>
      <c r="E90" s="117">
        <v>0</v>
      </c>
      <c r="F90" s="117">
        <v>0</v>
      </c>
      <c r="G90" s="118">
        <f>(((D90*(1+Parâmetros!B11)*(1+Parâmetros!C11)*(1+Parâmetros!D11))+(E90*(1+Parâmetros!C11)*(1+Parâmetros!D11)+(F90*(1+Parâmetros!D11))))/3)*(1+Parâmetros!E11)*(1+Parâmetros!E12)</f>
        <v>0</v>
      </c>
      <c r="H90" s="118">
        <f>G90*(1+Parâmetros!F11)*(1+Parâmetros!F12)</f>
        <v>0</v>
      </c>
      <c r="I90" s="118">
        <f>H90*(1+Parâmetros!G11)*(1+Parâmetros!G12)</f>
        <v>0</v>
      </c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</row>
    <row r="91" spans="1:177" customFormat="1" ht="12.75">
      <c r="A91" s="115" t="s">
        <v>350</v>
      </c>
      <c r="B91" s="116" t="s">
        <v>312</v>
      </c>
      <c r="C91" s="117">
        <v>0</v>
      </c>
      <c r="D91" s="117">
        <v>0</v>
      </c>
      <c r="E91" s="117">
        <v>0</v>
      </c>
      <c r="F91" s="117">
        <v>0</v>
      </c>
      <c r="G91" s="118">
        <f>(((D91*(1+Parâmetros!B11)*(1+Parâmetros!C11)*(1+Parâmetros!D11))+(E91*(1+Parâmetros!C11)*(1+Parâmetros!D11)+(F91*(1+Parâmetros!D11))))/3)*(1+Parâmetros!E11)*(1+Parâmetros!E12)</f>
        <v>0</v>
      </c>
      <c r="H91" s="118">
        <f>G91:G92*(1+Parâmetros!F11)*(1+Parâmetros!F12)</f>
        <v>0</v>
      </c>
      <c r="I91" s="118">
        <f>H91:H92*(1+Parâmetros!G11)*(1+Parâmetros!G12)</f>
        <v>0</v>
      </c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</row>
    <row r="92" spans="1:177" customFormat="1" ht="12.75">
      <c r="A92" s="115" t="s">
        <v>351</v>
      </c>
      <c r="B92" s="116" t="s">
        <v>314</v>
      </c>
      <c r="C92" s="117">
        <v>0</v>
      </c>
      <c r="D92" s="117">
        <v>0</v>
      </c>
      <c r="E92" s="117">
        <v>0</v>
      </c>
      <c r="F92" s="117">
        <v>0</v>
      </c>
      <c r="G92" s="118">
        <f>(((D92*(1+Parâmetros!B11)*(1+Parâmetros!C11)*(1+Parâmetros!D11))+(E92*(1+Parâmetros!C11)*(1+Parâmetros!D11)+(F92*(1+Parâmetros!D11))))/3)*(1+Parâmetros!E11)*(1+Parâmetros!E12)</f>
        <v>0</v>
      </c>
      <c r="H92" s="118">
        <f>G92*(1+Parâmetros!F11)*(1+Parâmetros!F12)</f>
        <v>0</v>
      </c>
      <c r="I92" s="118">
        <f>H92*(1+Parâmetros!G11)*(1+Parâmetros!G12)</f>
        <v>0</v>
      </c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</row>
    <row r="93" spans="1:177" customFormat="1" ht="12.75">
      <c r="A93" s="115" t="s">
        <v>352</v>
      </c>
      <c r="B93" s="116" t="s">
        <v>316</v>
      </c>
      <c r="C93" s="117">
        <v>0</v>
      </c>
      <c r="D93" s="117">
        <v>0</v>
      </c>
      <c r="E93" s="117">
        <v>0</v>
      </c>
      <c r="F93" s="117">
        <v>0</v>
      </c>
      <c r="G93" s="118">
        <f>(((D93*(1+Parâmetros!B11)*(1+Parâmetros!C11)*(1+Parâmetros!D11))+(E93*(1+Parâmetros!C11)*(1+Parâmetros!D11)+(F93*(1+Parâmetros!D11))))/3)*(1+Parâmetros!E11)*(1+Parâmetros!E12)</f>
        <v>0</v>
      </c>
      <c r="H93" s="118">
        <f>G93*(1+Parâmetros!F11)*(1+Parâmetros!F12)</f>
        <v>0</v>
      </c>
      <c r="I93" s="118">
        <f>H93*(1+Parâmetros!G11)*(1+Parâmetros!G12)</f>
        <v>0</v>
      </c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</row>
    <row r="94" spans="1:177" s="7" customFormat="1" ht="12.75">
      <c r="A94" s="112" t="s">
        <v>353</v>
      </c>
      <c r="B94" s="113" t="s">
        <v>354</v>
      </c>
      <c r="C94" s="114">
        <f t="shared" ref="C94:I94" si="17">C95+C96</f>
        <v>0</v>
      </c>
      <c r="D94" s="114">
        <f t="shared" si="17"/>
        <v>0</v>
      </c>
      <c r="E94" s="114">
        <f t="shared" si="17"/>
        <v>0</v>
      </c>
      <c r="F94" s="114">
        <f t="shared" si="17"/>
        <v>0</v>
      </c>
      <c r="G94" s="114">
        <f t="shared" si="17"/>
        <v>0</v>
      </c>
      <c r="H94" s="114">
        <f t="shared" si="17"/>
        <v>0</v>
      </c>
      <c r="I94" s="114">
        <f t="shared" si="17"/>
        <v>0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</row>
    <row r="95" spans="1:177" customFormat="1" ht="12.75">
      <c r="A95" s="115" t="s">
        <v>355</v>
      </c>
      <c r="B95" s="127" t="s">
        <v>356</v>
      </c>
      <c r="C95" s="117">
        <v>0</v>
      </c>
      <c r="D95" s="117">
        <v>0</v>
      </c>
      <c r="E95" s="117">
        <v>0</v>
      </c>
      <c r="F95" s="117">
        <v>0</v>
      </c>
      <c r="G95" s="118">
        <f>(((D95*(1+Parâmetros!B11)*(1+Parâmetros!C11)*(1+Parâmetros!D11))+(E95*(1+Parâmetros!C11)*(1+Parâmetros!D11)+(F95*(1+Parâmetros!D11))))/3)*(1+Parâmetros!E11)</f>
        <v>0</v>
      </c>
      <c r="H95" s="118">
        <f>G95*(1+Parâmetros!F11)</f>
        <v>0</v>
      </c>
      <c r="I95" s="118">
        <f>H95*(1+Parâmetros!G11)</f>
        <v>0</v>
      </c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</row>
    <row r="96" spans="1:177" customFormat="1" ht="12.75">
      <c r="A96" s="115" t="s">
        <v>357</v>
      </c>
      <c r="B96" s="127" t="s">
        <v>358</v>
      </c>
      <c r="C96" s="117">
        <v>0</v>
      </c>
      <c r="D96" s="117">
        <v>0</v>
      </c>
      <c r="E96" s="117">
        <v>0</v>
      </c>
      <c r="F96" s="117">
        <v>0</v>
      </c>
      <c r="G96" s="118">
        <f>(((D96*(1+Parâmetros!B11)*(1+Parâmetros!C11)*(1+Parâmetros!D11))+(E96*(1+Parâmetros!C11)*(1+Parâmetros!D11)+(F96*(1+Parâmetros!D11))))/3)*(1+Parâmetros!E11)</f>
        <v>0</v>
      </c>
      <c r="H96" s="118">
        <f>G96*(1+Parâmetros!F11)</f>
        <v>0</v>
      </c>
      <c r="I96" s="118">
        <f>H96*(1+Parâmetros!G11)</f>
        <v>0</v>
      </c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</row>
    <row r="97" spans="1:177" s="57" customFormat="1" ht="18">
      <c r="A97" s="128" t="s">
        <v>359</v>
      </c>
      <c r="B97" s="116" t="s">
        <v>387</v>
      </c>
      <c r="C97" s="97">
        <v>4586654.1500000004</v>
      </c>
      <c r="D97" s="97">
        <v>7976531.4699999997</v>
      </c>
      <c r="E97" s="117">
        <v>8372821.3799999999</v>
      </c>
      <c r="F97" s="117">
        <v>8870000</v>
      </c>
      <c r="G97" s="118">
        <f>(((D97*(1+Parâmetros!B11)*(1+Parâmetros!C11)*(1+Parâmetros!D11))+(E97*(1+Parâmetros!C11)*(1+Parâmetros!D11)+(F97*(1+Parâmetros!D11))))/3)*(1+Parâmetros!E11)*(1+Parâmetros!E13)*(1+Parâmetros!E18)</f>
        <v>9964567.5952415932</v>
      </c>
      <c r="H97" s="118">
        <f>G97*(1+Parâmetros!F11)*(1+Parâmetros!F13)*(1+Parâmetros!F18)</f>
        <v>10664455.055047052</v>
      </c>
      <c r="I97" s="118">
        <f>H97*(1+Parâmetros!G11)*(1+Parâmetros!G13)*(1+Parâmetros!G18)</f>
        <v>11537201.327945843</v>
      </c>
    </row>
    <row r="98" spans="1:177" s="57" customFormat="1" ht="18">
      <c r="A98" s="115" t="s">
        <v>360</v>
      </c>
      <c r="B98" s="116" t="s">
        <v>361</v>
      </c>
      <c r="C98" s="117">
        <v>0</v>
      </c>
      <c r="D98" s="117">
        <v>0</v>
      </c>
      <c r="E98" s="117">
        <v>0</v>
      </c>
      <c r="F98" s="117">
        <v>0</v>
      </c>
      <c r="G98" s="118">
        <f>(((D98*(1+Parâmetros!B11)*(1+Parâmetros!C11)*(1+Parâmetros!D11))+(E98*(1+Parâmetros!C11)*(1+Parâmetros!D11)+(F98*(1+Parâmetros!D11))))/3)*(1+Parâmetros!E11)</f>
        <v>0</v>
      </c>
      <c r="H98" s="118"/>
      <c r="I98" s="118"/>
    </row>
    <row r="99" spans="1:177" s="10" customFormat="1" ht="30.75" customHeight="1">
      <c r="A99" s="112" t="s">
        <v>362</v>
      </c>
      <c r="B99" s="113" t="s">
        <v>632</v>
      </c>
      <c r="C99" s="114">
        <f>C100+C101+C102+C103+47897.57</f>
        <v>-7176452.2080000006</v>
      </c>
      <c r="D99" s="114">
        <f>D100+D101+D102+D103+9686.57</f>
        <v>-8048814.2260000007</v>
      </c>
      <c r="E99" s="114">
        <f>E100+E101+E102+E103</f>
        <v>-8372821.3799999999</v>
      </c>
      <c r="F99" s="114">
        <f>F100+F101+F102+F103</f>
        <v>-8221200</v>
      </c>
      <c r="G99" s="114">
        <f>G100+G101+G102+G103</f>
        <v>-8505417.2005305625</v>
      </c>
      <c r="H99" s="114">
        <f>H100+H101+H102+H103</f>
        <v>-8674525.1952048782</v>
      </c>
      <c r="I99" s="114">
        <f>I100+I101+I102+I103</f>
        <v>-8950706.2676428296</v>
      </c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</row>
    <row r="100" spans="1:177" customFormat="1" ht="12.75">
      <c r="A100" s="115" t="s">
        <v>363</v>
      </c>
      <c r="B100" s="116" t="s">
        <v>807</v>
      </c>
      <c r="C100" s="97">
        <v>0</v>
      </c>
      <c r="D100" s="97">
        <v>0</v>
      </c>
      <c r="E100" s="97">
        <v>0</v>
      </c>
      <c r="F100" s="97">
        <v>-15000</v>
      </c>
      <c r="G100" s="118">
        <f>(((D100*(1+Parâmetros!B11)*(1+Parâmetros!C11)*(1+Parâmetros!D11))+(E100*(1+Parâmetros!C11)*(1+Parâmetros!D11)+(F100*(1+Parâmetros!D11))))/3)*(1+Parâmetros!E11)</f>
        <v>-5389.7852999999996</v>
      </c>
      <c r="H100" s="118">
        <f>G100*(1+Parâmetros!F11)</f>
        <v>-5606.45466906</v>
      </c>
      <c r="I100" s="118">
        <f>H100*(1+Parâmetros!G11)</f>
        <v>-5827.3489830209646</v>
      </c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</row>
    <row r="101" spans="1:177" customFormat="1" ht="12.75">
      <c r="A101" s="112" t="s">
        <v>364</v>
      </c>
      <c r="B101" s="113" t="s">
        <v>365</v>
      </c>
      <c r="C101" s="129">
        <f>-((C41+C44+C49+C52+C53+C54)*0.2)</f>
        <v>-7224349.7780000009</v>
      </c>
      <c r="D101" s="129">
        <f t="shared" ref="D101:I101" si="18">-((D41+D44+D49+D52+D53+D54)*0.2)</f>
        <v>-8058500.796000001</v>
      </c>
      <c r="E101" s="129">
        <f>-8372821.38</f>
        <v>-8372821.3799999999</v>
      </c>
      <c r="F101" s="129">
        <f>-((F41+F44+F49+F52+F53+F54)*0.2)</f>
        <v>-8206200</v>
      </c>
      <c r="G101" s="129">
        <f t="shared" si="18"/>
        <v>-8500027.4152305629</v>
      </c>
      <c r="H101" s="129">
        <f t="shared" si="18"/>
        <v>-8668918.740535818</v>
      </c>
      <c r="I101" s="129">
        <f t="shared" si="18"/>
        <v>-8944878.9186598081</v>
      </c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</row>
    <row r="102" spans="1:177" customFormat="1" ht="12.75">
      <c r="A102" s="115" t="s">
        <v>366</v>
      </c>
      <c r="B102" s="116" t="s">
        <v>808</v>
      </c>
      <c r="C102" s="97">
        <v>0</v>
      </c>
      <c r="D102" s="97">
        <v>0</v>
      </c>
      <c r="E102" s="97">
        <v>0</v>
      </c>
      <c r="F102" s="97"/>
      <c r="G102" s="118">
        <f>(((D102*(1+Parâmetros!B11)*(1+Parâmetros!C11)*(1+Parâmetros!D11))+(E102*(1+Parâmetros!C11)*(1+Parâmetros!D11)+(F102*(1+Parâmetros!D11))))/3)*(1+Parâmetros!E11)</f>
        <v>0</v>
      </c>
      <c r="H102" s="118">
        <f>G102*(1+Parâmetros!F11)</f>
        <v>0</v>
      </c>
      <c r="I102" s="118">
        <f>H102*(1+Parâmetros!G11)</f>
        <v>0</v>
      </c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</row>
    <row r="103" spans="1:177" customFormat="1" ht="12.75">
      <c r="A103" s="115" t="s">
        <v>367</v>
      </c>
      <c r="B103" s="116" t="s">
        <v>809</v>
      </c>
      <c r="C103" s="97">
        <v>0</v>
      </c>
      <c r="D103" s="97">
        <v>0</v>
      </c>
      <c r="E103" s="97">
        <v>0</v>
      </c>
      <c r="F103" s="97">
        <v>0</v>
      </c>
      <c r="G103" s="118">
        <f>(((D103*(1+Parâmetros!B11)*(1+Parâmetros!C11)*(1+Parâmetros!D11))+(E103*(1+Parâmetros!C11)*(1+Parâmetros!D11)+(F103*(1+Parâmetros!D11))))/3)*(1+Parâmetros!E11)</f>
        <v>0</v>
      </c>
      <c r="H103" s="118">
        <f>G103*(1+Parâmetros!F11)</f>
        <v>0</v>
      </c>
      <c r="I103" s="118">
        <f>H103*(1+Parâmetros!G11)</f>
        <v>0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</row>
    <row r="104" spans="1:177" customFormat="1" ht="12.75">
      <c r="A104" s="130"/>
      <c r="B104" s="131"/>
      <c r="C104" s="132"/>
      <c r="D104" s="132"/>
      <c r="E104" s="132"/>
      <c r="F104" s="132"/>
      <c r="G104" s="118"/>
      <c r="H104" s="118"/>
      <c r="I104" s="118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</row>
    <row r="105" spans="1:177" s="9" customFormat="1" ht="25.5" customHeight="1">
      <c r="A105" s="133"/>
      <c r="B105" s="134" t="s">
        <v>510</v>
      </c>
      <c r="C105" s="129">
        <f t="shared" ref="C105:I105" si="19">C8+C78+C97+C98+C99</f>
        <v>76589500.791999996</v>
      </c>
      <c r="D105" s="129">
        <f t="shared" si="19"/>
        <v>93909228.904000014</v>
      </c>
      <c r="E105" s="129">
        <f t="shared" si="19"/>
        <v>93232100.810000017</v>
      </c>
      <c r="F105" s="129">
        <f t="shared" si="19"/>
        <v>93658450</v>
      </c>
      <c r="G105" s="129">
        <f t="shared" si="19"/>
        <v>95254389.864100814</v>
      </c>
      <c r="H105" s="129">
        <f t="shared" si="19"/>
        <v>98716093.294765681</v>
      </c>
      <c r="I105" s="129">
        <f t="shared" si="19"/>
        <v>103307654.63195926</v>
      </c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  <c r="FK105" s="70"/>
      <c r="FL105" s="70"/>
      <c r="FM105" s="70"/>
      <c r="FN105" s="70"/>
      <c r="FO105" s="70"/>
      <c r="FP105" s="70"/>
      <c r="FQ105" s="70"/>
      <c r="FR105" s="70"/>
      <c r="FS105" s="70"/>
      <c r="FT105" s="70"/>
      <c r="FU105" s="70"/>
    </row>
    <row r="106" spans="1:177" customFormat="1" ht="12.75">
      <c r="A106" s="135"/>
      <c r="B106" s="135"/>
      <c r="C106" s="136"/>
      <c r="D106" s="136"/>
      <c r="E106" s="136"/>
      <c r="F106" s="136"/>
      <c r="G106" s="137"/>
      <c r="H106" s="137"/>
      <c r="I106" s="137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</row>
    <row r="107" spans="1:177" customFormat="1" ht="12.75">
      <c r="A107" s="555" t="str">
        <f>Parâmetros!A7</f>
        <v>Município de : PORTÃO/RS</v>
      </c>
      <c r="B107" s="553"/>
      <c r="C107" s="553"/>
      <c r="D107" s="553"/>
      <c r="E107" s="553"/>
      <c r="F107" s="553"/>
      <c r="G107" s="553"/>
      <c r="H107" s="553"/>
      <c r="I107" s="553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</row>
    <row r="108" spans="1:177" customFormat="1" ht="12.75">
      <c r="A108" s="554" t="str">
        <f>Parâmetros!A8</f>
        <v>LEI DE DIRETRIZES ORÇAMENTÁRIAS  PARA 2019</v>
      </c>
      <c r="B108" s="553"/>
      <c r="C108" s="553"/>
      <c r="D108" s="553"/>
      <c r="E108" s="553"/>
      <c r="F108" s="553"/>
      <c r="G108" s="553"/>
      <c r="H108" s="553"/>
      <c r="I108" s="553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</row>
    <row r="109" spans="1:177" customFormat="1" ht="12.75">
      <c r="A109" s="552" t="s">
        <v>508</v>
      </c>
      <c r="B109" s="553"/>
      <c r="C109" s="553"/>
      <c r="D109" s="553"/>
      <c r="E109" s="553"/>
      <c r="F109" s="553"/>
      <c r="G109" s="553"/>
      <c r="H109" s="553"/>
      <c r="I109" s="553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</row>
    <row r="110" spans="1:177" customFormat="1" ht="13.5">
      <c r="A110" s="135"/>
      <c r="B110" s="135"/>
      <c r="C110" s="136"/>
      <c r="D110" s="136"/>
      <c r="E110" s="136"/>
      <c r="F110" s="136"/>
      <c r="G110" s="137"/>
      <c r="H110" s="137"/>
      <c r="I110" s="143" t="s">
        <v>55</v>
      </c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</row>
    <row r="111" spans="1:177" s="1" customFormat="1">
      <c r="A111" s="99"/>
      <c r="B111" s="100" t="s">
        <v>0</v>
      </c>
      <c r="C111" s="101" t="s">
        <v>506</v>
      </c>
      <c r="D111" s="101" t="s">
        <v>506</v>
      </c>
      <c r="E111" s="101" t="s">
        <v>506</v>
      </c>
      <c r="F111" s="102" t="s">
        <v>507</v>
      </c>
      <c r="G111" s="102" t="s">
        <v>12</v>
      </c>
      <c r="H111" s="103" t="s">
        <v>12</v>
      </c>
      <c r="I111" s="104" t="s">
        <v>12</v>
      </c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</row>
    <row r="112" spans="1:177" s="1" customFormat="1" ht="27.75" customHeight="1">
      <c r="A112" s="105"/>
      <c r="B112" s="106" t="s">
        <v>8</v>
      </c>
      <c r="C112" s="107">
        <f>C7</f>
        <v>2015</v>
      </c>
      <c r="D112" s="108">
        <f t="shared" ref="D112:I112" si="20">C112+1</f>
        <v>2016</v>
      </c>
      <c r="E112" s="108">
        <f t="shared" si="20"/>
        <v>2017</v>
      </c>
      <c r="F112" s="108">
        <f t="shared" si="20"/>
        <v>2018</v>
      </c>
      <c r="G112" s="108">
        <f t="shared" si="20"/>
        <v>2019</v>
      </c>
      <c r="H112" s="108">
        <f t="shared" si="20"/>
        <v>2020</v>
      </c>
      <c r="I112" s="108">
        <f t="shared" si="20"/>
        <v>2021</v>
      </c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</row>
    <row r="113" spans="1:177" s="58" customFormat="1" ht="12.75">
      <c r="A113" s="144" t="s">
        <v>42</v>
      </c>
      <c r="B113" s="145" t="s">
        <v>1</v>
      </c>
      <c r="C113" s="129">
        <f t="shared" ref="C113:I113" si="21">C114+C118+C122</f>
        <v>59125740.030000001</v>
      </c>
      <c r="D113" s="129">
        <f t="shared" si="21"/>
        <v>67296925.020000011</v>
      </c>
      <c r="E113" s="129">
        <f t="shared" si="21"/>
        <v>69415072.459999993</v>
      </c>
      <c r="F113" s="129">
        <f t="shared" si="21"/>
        <v>80202740</v>
      </c>
      <c r="G113" s="129">
        <f t="shared" si="21"/>
        <v>86813294.062190562</v>
      </c>
      <c r="H113" s="129">
        <f t="shared" si="21"/>
        <v>92059214.48772642</v>
      </c>
      <c r="I113" s="129">
        <f t="shared" si="21"/>
        <v>98553970.293483987</v>
      </c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</row>
    <row r="114" spans="1:177" s="58" customFormat="1" ht="12.75">
      <c r="A114" s="144" t="s">
        <v>43</v>
      </c>
      <c r="B114" s="145" t="s">
        <v>44</v>
      </c>
      <c r="C114" s="129">
        <f>C115+C116+C117</f>
        <v>41100348.030000001</v>
      </c>
      <c r="D114" s="129">
        <f t="shared" ref="D114:I114" si="22">D115+D116+D117</f>
        <v>48538844.859999999</v>
      </c>
      <c r="E114" s="129">
        <f t="shared" si="22"/>
        <v>50102872.549999997</v>
      </c>
      <c r="F114" s="129">
        <f>F115+F116+F117</f>
        <v>54022400</v>
      </c>
      <c r="G114" s="129">
        <f t="shared" si="22"/>
        <v>61695463.46701441</v>
      </c>
      <c r="H114" s="129">
        <f t="shared" si="22"/>
        <v>66028805.661217488</v>
      </c>
      <c r="I114" s="129">
        <f t="shared" si="22"/>
        <v>71432400.476642579</v>
      </c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</row>
    <row r="115" spans="1:177" s="8" customFormat="1" ht="12.75">
      <c r="A115" s="146" t="s">
        <v>43</v>
      </c>
      <c r="B115" s="147" t="s">
        <v>810</v>
      </c>
      <c r="C115" s="97">
        <v>33226235.09</v>
      </c>
      <c r="D115" s="97">
        <v>39235756.170000002</v>
      </c>
      <c r="E115" s="97">
        <v>39709035.850000001</v>
      </c>
      <c r="F115" s="97">
        <v>40833900</v>
      </c>
      <c r="G115" s="118">
        <v>47878990.859999999</v>
      </c>
      <c r="H115" s="132">
        <f>G115*(1+Parâmetros!F11)*(1+Parâmetros!F13)*(1+Parâmetros!F18)</f>
        <v>51241896.974165574</v>
      </c>
      <c r="I115" s="132">
        <f>H115*(1+Parâmetros!G11)*(1+Parâmetros!G13)*(1+Parâmetros!G18)</f>
        <v>55435376.563101731</v>
      </c>
      <c r="J115" s="539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</row>
    <row r="116" spans="1:177" s="8" customFormat="1" ht="12.75">
      <c r="A116" s="146" t="s">
        <v>43</v>
      </c>
      <c r="B116" s="147" t="s">
        <v>368</v>
      </c>
      <c r="C116" s="97">
        <v>2453297.65</v>
      </c>
      <c r="D116" s="97">
        <v>2556271.9300000002</v>
      </c>
      <c r="E116" s="97">
        <v>2265465.83</v>
      </c>
      <c r="F116" s="97">
        <v>2833500</v>
      </c>
      <c r="G116" s="118">
        <v>3900000</v>
      </c>
      <c r="H116" s="132">
        <f>G116*(1+Parâmetros!F11)*(1+Parâmetros!F13)*(1+Parâmetros!F19)</f>
        <v>4173926.6974860742</v>
      </c>
      <c r="I116" s="132">
        <f>H116*(1+Parâmetros!G11)*(1+Parâmetros!G13)*(1+Parâmetros!G19)</f>
        <v>4515508.0487863217</v>
      </c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</row>
    <row r="117" spans="1:177" s="8" customFormat="1" ht="14.25" customHeight="1">
      <c r="A117" s="146" t="s">
        <v>43</v>
      </c>
      <c r="B117" s="147" t="s">
        <v>206</v>
      </c>
      <c r="C117" s="97">
        <v>5420815.29</v>
      </c>
      <c r="D117" s="97">
        <v>6746816.7599999998</v>
      </c>
      <c r="E117" s="97">
        <v>8128370.8700000001</v>
      </c>
      <c r="F117" s="97">
        <v>10355000</v>
      </c>
      <c r="G117" s="118">
        <f>(((D117*(1+Parâmetros!B11)*(1+Parâmetros!C11)*(1+Parâmetros!D11))+(E117*(1+Parâmetros!C11)*(1+Parâmetros!D11)+(F117*(1+Parâmetros!D11))))/3)*(1+Parâmetros!E11)*(1+Parâmetros!E13)*(1+Parâmetros!E18)</f>
        <v>9916472.6070144102</v>
      </c>
      <c r="H117" s="132">
        <f>G117*(1+Parâmetros!F11)*(1+Parâmetros!F13)*(1+Parâmetros!F18)</f>
        <v>10612981.98956584</v>
      </c>
      <c r="I117" s="132">
        <f>H117*(1+Parâmetros!G11)*(1+Parâmetros!G13)*(1+Parâmetros!G18)</f>
        <v>11481515.864754526</v>
      </c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</row>
    <row r="118" spans="1:177" s="59" customFormat="1" ht="12.75">
      <c r="A118" s="144" t="s">
        <v>45</v>
      </c>
      <c r="B118" s="145" t="s">
        <v>130</v>
      </c>
      <c r="C118" s="129">
        <f t="shared" ref="C118:I118" si="23">C119+C120+C121</f>
        <v>0</v>
      </c>
      <c r="D118" s="129">
        <f t="shared" si="23"/>
        <v>0</v>
      </c>
      <c r="E118" s="129">
        <f t="shared" si="23"/>
        <v>142999.85999999999</v>
      </c>
      <c r="F118" s="129">
        <f t="shared" si="23"/>
        <v>395000</v>
      </c>
      <c r="G118" s="129">
        <f t="shared" si="23"/>
        <v>201408.89770356851</v>
      </c>
      <c r="H118" s="129">
        <f t="shared" si="23"/>
        <v>217702.8775277872</v>
      </c>
      <c r="I118" s="129">
        <f t="shared" si="23"/>
        <v>235293.27003203239</v>
      </c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</row>
    <row r="119" spans="1:177" customFormat="1" ht="12.75">
      <c r="A119" s="146" t="s">
        <v>45</v>
      </c>
      <c r="B119" s="147" t="s">
        <v>369</v>
      </c>
      <c r="C119" s="97">
        <v>0</v>
      </c>
      <c r="D119" s="97">
        <v>0</v>
      </c>
      <c r="E119" s="97">
        <v>142999.85999999999</v>
      </c>
      <c r="F119" s="97">
        <v>395000</v>
      </c>
      <c r="G119" s="118">
        <f>(((D119*(1+Parâmetros!B11)*(1+Parâmetros!C11)*(1+Parâmetros!D11))+(E119*(1+Parâmetros!C11)*(1+Parâmetros!D11)+(F119*(1+Parâmetros!D11))))/3)*(1+Parâmetros!E21)</f>
        <v>201408.89770356851</v>
      </c>
      <c r="H119" s="132">
        <f>G119*(1+Parâmetros!F21)</f>
        <v>217702.8775277872</v>
      </c>
      <c r="I119" s="132">
        <f>H119*(1+Parâmetros!G21)</f>
        <v>235293.27003203239</v>
      </c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</row>
    <row r="120" spans="1:177" customFormat="1" ht="12.75">
      <c r="A120" s="146" t="s">
        <v>45</v>
      </c>
      <c r="B120" s="147" t="s">
        <v>370</v>
      </c>
      <c r="C120" s="97">
        <v>0</v>
      </c>
      <c r="D120" s="97">
        <v>0</v>
      </c>
      <c r="E120" s="97">
        <v>0</v>
      </c>
      <c r="F120" s="97">
        <v>0</v>
      </c>
      <c r="G120" s="118">
        <f>(((D120*(1+Parâmetros!B11)*(1+Parâmetros!C11)*(1+Parâmetros!D11))+(E120*(1+Parâmetros!C11)*(1+Parâmetros!D11)+(F120*(1+Parâmetros!D11))))/3)*(1+Parâmetros!E21)</f>
        <v>0</v>
      </c>
      <c r="H120" s="132">
        <f>G120*(1+Parâmetros!F21)</f>
        <v>0</v>
      </c>
      <c r="I120" s="132">
        <f>H120*(1+Parâmetros!G21)</f>
        <v>0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</row>
    <row r="121" spans="1:177" customFormat="1" ht="12.75">
      <c r="A121" s="146" t="s">
        <v>45</v>
      </c>
      <c r="B121" s="147" t="s">
        <v>207</v>
      </c>
      <c r="C121" s="97">
        <v>0</v>
      </c>
      <c r="D121" s="97">
        <v>0</v>
      </c>
      <c r="E121" s="97">
        <v>0</v>
      </c>
      <c r="F121" s="97">
        <v>0</v>
      </c>
      <c r="G121" s="118">
        <f>(((D121*(1+Parâmetros!B11)*(1+Parâmetros!C11)*(1+Parâmetros!D11))+(E121*(1+Parâmetros!C11)*(1+Parâmetros!D11)+(F121*(1+Parâmetros!D11))))/3)*(1+Parâmetros!E21)</f>
        <v>0</v>
      </c>
      <c r="H121" s="132">
        <f>G121*(1+Parâmetros!F21)</f>
        <v>0</v>
      </c>
      <c r="I121" s="132">
        <f>H121*(1+Parâmetros!G21)</f>
        <v>0</v>
      </c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</row>
    <row r="122" spans="1:177" s="58" customFormat="1" ht="12.75">
      <c r="A122" s="144" t="s">
        <v>46</v>
      </c>
      <c r="B122" s="145" t="s">
        <v>47</v>
      </c>
      <c r="C122" s="129">
        <f t="shared" ref="C122:I122" si="24">C123+C124+C125</f>
        <v>18025392</v>
      </c>
      <c r="D122" s="129">
        <f t="shared" si="24"/>
        <v>18758080.160000004</v>
      </c>
      <c r="E122" s="129">
        <f t="shared" si="24"/>
        <v>19169200.050000001</v>
      </c>
      <c r="F122" s="129">
        <f t="shared" si="24"/>
        <v>25785340</v>
      </c>
      <c r="G122" s="129">
        <f t="shared" si="24"/>
        <v>24916421.697472584</v>
      </c>
      <c r="H122" s="129">
        <f t="shared" si="24"/>
        <v>25812705.948981136</v>
      </c>
      <c r="I122" s="129">
        <f t="shared" si="24"/>
        <v>26886276.546809379</v>
      </c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/>
      <c r="FU122" s="67"/>
    </row>
    <row r="123" spans="1:177" s="8" customFormat="1" ht="12.75">
      <c r="A123" s="146" t="s">
        <v>46</v>
      </c>
      <c r="B123" s="147" t="s">
        <v>371</v>
      </c>
      <c r="C123" s="97">
        <v>17675646.510000002</v>
      </c>
      <c r="D123" s="97">
        <v>18457300.760000002</v>
      </c>
      <c r="E123" s="97">
        <v>18999310.829999998</v>
      </c>
      <c r="F123" s="97">
        <v>25135650</v>
      </c>
      <c r="G123" s="118">
        <v>24500000</v>
      </c>
      <c r="H123" s="132">
        <f>G123*(1+Parâmetros!F11)*(1+Parâmetros!F14)</f>
        <v>25381304.885130718</v>
      </c>
      <c r="I123" s="132">
        <f>H123*(1+Parâmetros!G11)*(1+Parâmetros!G14)</f>
        <v>26436933.17582785</v>
      </c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</row>
    <row r="124" spans="1:177" s="8" customFormat="1" ht="12.75">
      <c r="A124" s="146" t="s">
        <v>46</v>
      </c>
      <c r="B124" s="147" t="s">
        <v>372</v>
      </c>
      <c r="C124" s="97">
        <v>300690.09000000003</v>
      </c>
      <c r="D124" s="97">
        <v>253951.14</v>
      </c>
      <c r="E124" s="97">
        <v>146112.92000000001</v>
      </c>
      <c r="F124" s="97">
        <v>394690</v>
      </c>
      <c r="G124" s="118">
        <f>(((D124*(1+Parâmetros!B11)*(1+Parâmetros!C11)*(1+Parâmetros!D11))+(E124*(1+Parâmetros!C11)*(1+Parâmetros!D11)+(F124*(1+Parâmetros!D11))))/3)*(1+Parâmetros!E11)*(1+Parâmetros!E14)</f>
        <v>297285.2105948609</v>
      </c>
      <c r="H124" s="132">
        <f>G124*(1+Parâmetros!F11)*(1+Parâmetros!F14)</f>
        <v>307979.04358973296</v>
      </c>
      <c r="I124" s="132">
        <f>H124*(1+Parâmetros!G11)*(1+Parâmetros!G14)</f>
        <v>320788.13251666317</v>
      </c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/>
      <c r="FU124" s="67"/>
    </row>
    <row r="125" spans="1:177" s="8" customFormat="1" ht="12.75">
      <c r="A125" s="146" t="s">
        <v>46</v>
      </c>
      <c r="B125" s="147" t="s">
        <v>373</v>
      </c>
      <c r="C125" s="97">
        <v>49055.4</v>
      </c>
      <c r="D125" s="97">
        <v>46828.26</v>
      </c>
      <c r="E125" s="97">
        <v>23776.3</v>
      </c>
      <c r="F125" s="97">
        <v>255000</v>
      </c>
      <c r="G125" s="118">
        <f>(((D125*(1+Parâmetros!B11)*(1+Parâmetros!C11)*(1+Parâmetros!D11))+(E125*(1+Parâmetros!C11)*(1+Parâmetros!D11)+(F125*(1+Parâmetros!D11))))/3)*(1+Parâmetros!E11)*(1+Parâmetros!E14)</f>
        <v>119136.48687772035</v>
      </c>
      <c r="H125" s="132">
        <f>G125*(1+Parâmetros!F11)*(1+Parâmetros!F14)</f>
        <v>123422.02026068552</v>
      </c>
      <c r="I125" s="132">
        <f>H125*(1+Parâmetros!G11)*(1+Parâmetros!G14)</f>
        <v>128555.23846486467</v>
      </c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</row>
    <row r="126" spans="1:177" s="58" customFormat="1" ht="12.75">
      <c r="A126" s="144" t="s">
        <v>48</v>
      </c>
      <c r="B126" s="145" t="s">
        <v>2</v>
      </c>
      <c r="C126" s="129">
        <f t="shared" ref="C126:I126" si="25">C127+C131+C135</f>
        <v>3463393.26</v>
      </c>
      <c r="D126" s="129">
        <f t="shared" si="25"/>
        <v>6258552.8400000008</v>
      </c>
      <c r="E126" s="129">
        <f t="shared" si="25"/>
        <v>3811445.3100000005</v>
      </c>
      <c r="F126" s="129">
        <f t="shared" si="25"/>
        <v>7786950</v>
      </c>
      <c r="G126" s="129">
        <f>G127+G131+G135</f>
        <v>8441095.8000606261</v>
      </c>
      <c r="H126" s="129">
        <f t="shared" si="25"/>
        <v>8544937.6338470615</v>
      </c>
      <c r="I126" s="129">
        <f t="shared" si="25"/>
        <v>10645208.176620636</v>
      </c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/>
      <c r="FU126" s="67"/>
    </row>
    <row r="127" spans="1:177" s="58" customFormat="1" ht="12.75">
      <c r="A127" s="144" t="s">
        <v>49</v>
      </c>
      <c r="B127" s="145" t="s">
        <v>3</v>
      </c>
      <c r="C127" s="129">
        <f t="shared" ref="C127:F127" si="26">C128+C129+C130</f>
        <v>1534353.56</v>
      </c>
      <c r="D127" s="129">
        <f t="shared" si="26"/>
        <v>4412036.1400000006</v>
      </c>
      <c r="E127" s="129">
        <f t="shared" si="26"/>
        <v>1627698.07</v>
      </c>
      <c r="F127" s="129">
        <f t="shared" si="26"/>
        <v>5286950</v>
      </c>
      <c r="G127" s="129">
        <f>G128+G129</f>
        <v>5994510.8799999999</v>
      </c>
      <c r="H127" s="129">
        <v>6000000</v>
      </c>
      <c r="I127" s="129">
        <v>8000000</v>
      </c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/>
      <c r="FU127" s="67"/>
    </row>
    <row r="128" spans="1:177" s="8" customFormat="1" ht="12.75">
      <c r="A128" s="146" t="s">
        <v>49</v>
      </c>
      <c r="B128" s="147" t="s">
        <v>374</v>
      </c>
      <c r="C128" s="97">
        <v>1457022.56</v>
      </c>
      <c r="D128" s="97">
        <v>4355268.91</v>
      </c>
      <c r="E128" s="97">
        <v>1599061.53</v>
      </c>
      <c r="F128" s="97">
        <v>5041950</v>
      </c>
      <c r="G128" s="118">
        <v>5763378.0199999996</v>
      </c>
      <c r="H128" s="132">
        <f>G128*(1+Parâmetros!F11)*(1+Parâmetros!F20)</f>
        <v>11321048.407018978</v>
      </c>
      <c r="I128" s="132">
        <f>H128*(1+Parâmetros!G11)*(1+Parâmetros!G20)</f>
        <v>28355391.862468541</v>
      </c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/>
      <c r="FU128" s="67"/>
    </row>
    <row r="129" spans="1:177" s="8" customFormat="1" ht="12.75">
      <c r="A129" s="146" t="s">
        <v>49</v>
      </c>
      <c r="B129" s="147" t="s">
        <v>375</v>
      </c>
      <c r="C129" s="97">
        <v>77331</v>
      </c>
      <c r="D129" s="97">
        <v>56767.23</v>
      </c>
      <c r="E129" s="97">
        <v>28636.54</v>
      </c>
      <c r="F129" s="97">
        <v>245000</v>
      </c>
      <c r="G129" s="118">
        <v>231132.86</v>
      </c>
      <c r="H129" s="132">
        <f>G129*(1+Parâmetros!F11)*(1+Parâmetros!F20)</f>
        <v>454016.080054513</v>
      </c>
      <c r="I129" s="132">
        <f>H129*(1+Parâmetros!G11)*(1+Parâmetros!G20)</f>
        <v>1137156.5069738531</v>
      </c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</row>
    <row r="130" spans="1:177" s="8" customFormat="1" ht="12.75">
      <c r="A130" s="146" t="s">
        <v>49</v>
      </c>
      <c r="B130" s="147" t="s">
        <v>631</v>
      </c>
      <c r="C130" s="97">
        <v>0</v>
      </c>
      <c r="D130" s="97">
        <v>0</v>
      </c>
      <c r="E130" s="97">
        <v>0</v>
      </c>
      <c r="F130" s="97">
        <v>0</v>
      </c>
      <c r="G130" s="118">
        <f>(((D130*(1+Parâmetros!B11)*(1+Parâmetros!C11)*(1+Parâmetros!D11))+(E130*(1+Parâmetros!C11)*(1+Parâmetros!D11)+(F130*(1+Parâmetros!D11))))/3)*(1+Parâmetros!E11)*(1+Parâmetros!E20)</f>
        <v>0</v>
      </c>
      <c r="H130" s="132">
        <f>G130*(1+Parâmetros!F11)*(1+Parâmetros!F20)</f>
        <v>0</v>
      </c>
      <c r="I130" s="132">
        <f>H130*(1+Parâmetros!G11)*(1+Parâmetros!G20)</f>
        <v>0</v>
      </c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/>
      <c r="FU130" s="67"/>
    </row>
    <row r="131" spans="1:177" s="58" customFormat="1" ht="12.75">
      <c r="A131" s="144" t="s">
        <v>50</v>
      </c>
      <c r="B131" s="145" t="s">
        <v>4</v>
      </c>
      <c r="C131" s="129">
        <f t="shared" ref="C131:I131" si="27">C132+C133+C134</f>
        <v>0</v>
      </c>
      <c r="D131" s="129">
        <f t="shared" si="27"/>
        <v>0</v>
      </c>
      <c r="E131" s="129">
        <f t="shared" si="27"/>
        <v>0</v>
      </c>
      <c r="F131" s="129">
        <f t="shared" si="27"/>
        <v>0</v>
      </c>
      <c r="G131" s="129">
        <f t="shared" si="27"/>
        <v>0</v>
      </c>
      <c r="H131" s="129">
        <f t="shared" si="27"/>
        <v>0</v>
      </c>
      <c r="I131" s="129">
        <f t="shared" si="27"/>
        <v>0</v>
      </c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/>
      <c r="FU131" s="67"/>
    </row>
    <row r="132" spans="1:177" customFormat="1" ht="12.75">
      <c r="A132" s="146" t="s">
        <v>51</v>
      </c>
      <c r="B132" s="131" t="s">
        <v>52</v>
      </c>
      <c r="C132" s="97">
        <v>0</v>
      </c>
      <c r="D132" s="97">
        <v>0</v>
      </c>
      <c r="E132" s="97">
        <v>0</v>
      </c>
      <c r="F132" s="97">
        <v>0</v>
      </c>
      <c r="G132" s="118">
        <f>(((D132*(1+Parâmetros!B11)*(1+Parâmetros!C11)*(1+Parâmetros!D11))+(E132*(1+Parâmetros!C11)*(1+Parâmetros!D11)+(F132*(1+Parâmetros!D11))))/3)*(1+Parâmetros!E11)</f>
        <v>0</v>
      </c>
      <c r="H132" s="132">
        <f>G132*(1+Parâmetros!F11)</f>
        <v>0</v>
      </c>
      <c r="I132" s="132">
        <f>H132*(1+Parâmetros!G11)</f>
        <v>0</v>
      </c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</row>
    <row r="133" spans="1:177" customFormat="1" ht="12.75">
      <c r="A133" s="146" t="s">
        <v>376</v>
      </c>
      <c r="B133" s="131" t="s">
        <v>377</v>
      </c>
      <c r="C133" s="97">
        <v>0</v>
      </c>
      <c r="D133" s="97">
        <v>0</v>
      </c>
      <c r="E133" s="97">
        <v>0</v>
      </c>
      <c r="F133" s="97">
        <v>0</v>
      </c>
      <c r="G133" s="118">
        <f>(((D133*(1+Parâmetros!B11)*(1+Parâmetros!C11)*(1+Parâmetros!D11))+(E133*(1+Parâmetros!C11)*(1+Parâmetros!D11)+(F133*(1+Parâmetros!D11))))/3)*(1+Parâmetros!E11)</f>
        <v>0</v>
      </c>
      <c r="H133" s="132">
        <f>G133*(1+Parâmetros!F11)</f>
        <v>0</v>
      </c>
      <c r="I133" s="132">
        <f>H133*(1+Parâmetros!G11)</f>
        <v>0</v>
      </c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</row>
    <row r="134" spans="1:177" customFormat="1" ht="12.75">
      <c r="A134" s="146" t="s">
        <v>376</v>
      </c>
      <c r="B134" s="131" t="s">
        <v>378</v>
      </c>
      <c r="C134" s="97">
        <v>0</v>
      </c>
      <c r="D134" s="97">
        <v>0</v>
      </c>
      <c r="E134" s="97">
        <v>0</v>
      </c>
      <c r="F134" s="97">
        <v>0</v>
      </c>
      <c r="G134" s="118">
        <f>(((D134*(1+Parâmetros!B11)*(1+Parâmetros!C11)*(1+Parâmetros!D11))+(E134*(1+Parâmetros!C11)*(1+Parâmetros!D11)+(F134*(1+Parâmetros!D11))))/3)*(1+Parâmetros!E11)</f>
        <v>0</v>
      </c>
      <c r="H134" s="132">
        <f>G134*(1+Parâmetros!F11)</f>
        <v>0</v>
      </c>
      <c r="I134" s="132">
        <f>H134*(1+Parâmetros!G11)</f>
        <v>0</v>
      </c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</row>
    <row r="135" spans="1:177" s="58" customFormat="1" ht="12.75">
      <c r="A135" s="144" t="s">
        <v>53</v>
      </c>
      <c r="B135" s="145" t="s">
        <v>54</v>
      </c>
      <c r="C135" s="129">
        <f t="shared" ref="C135:I135" si="28">C136+C137+C138</f>
        <v>1929039.7</v>
      </c>
      <c r="D135" s="129">
        <f t="shared" si="28"/>
        <v>1846516.7</v>
      </c>
      <c r="E135" s="129">
        <f t="shared" si="28"/>
        <v>2183747.2400000002</v>
      </c>
      <c r="F135" s="129">
        <f t="shared" si="28"/>
        <v>2500000</v>
      </c>
      <c r="G135" s="129">
        <f t="shared" si="28"/>
        <v>2446584.9200606253</v>
      </c>
      <c r="H135" s="129">
        <f t="shared" si="28"/>
        <v>2544937.6338470625</v>
      </c>
      <c r="I135" s="129">
        <f t="shared" si="28"/>
        <v>2645208.1766206371</v>
      </c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/>
      <c r="FU135" s="67"/>
    </row>
    <row r="136" spans="1:177" s="8" customFormat="1" ht="12.75">
      <c r="A136" s="146" t="s">
        <v>53</v>
      </c>
      <c r="B136" s="131" t="s">
        <v>379</v>
      </c>
      <c r="C136" s="97">
        <v>1929039.7</v>
      </c>
      <c r="D136" s="97">
        <v>1846516.7</v>
      </c>
      <c r="E136" s="97">
        <v>2183747.2400000002</v>
      </c>
      <c r="F136" s="97">
        <v>2500000</v>
      </c>
      <c r="G136" s="118">
        <f>(((D136*(1+Parâmetros!B11)*(1+Parâmetros!C11)*(1+Parâmetros!D11))+(E136*(1+Parâmetros!C11)*(1+Parâmetros!D11)+(F136*(1+Parâmetros!D11))))/3)*(1+Parâmetros!E11)</f>
        <v>2446584.9200606253</v>
      </c>
      <c r="H136" s="132">
        <f>G136*(1+Parâmetros!F11)</f>
        <v>2544937.6338470625</v>
      </c>
      <c r="I136" s="132">
        <f>H136*(1+Parâmetros!G11)</f>
        <v>2645208.1766206371</v>
      </c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/>
      <c r="FU136" s="67"/>
    </row>
    <row r="137" spans="1:177" s="8" customFormat="1" ht="12.75">
      <c r="A137" s="146" t="s">
        <v>53</v>
      </c>
      <c r="B137" s="131" t="s">
        <v>380</v>
      </c>
      <c r="C137" s="97">
        <v>0</v>
      </c>
      <c r="D137" s="97">
        <v>0</v>
      </c>
      <c r="E137" s="97">
        <v>0</v>
      </c>
      <c r="F137" s="97">
        <v>0</v>
      </c>
      <c r="G137" s="118">
        <f>(((D137*(1+Parâmetros!B11)*(1+Parâmetros!C11)*(1+Parâmetros!D11))+(E137*(1+Parâmetros!C11)*(1+Parâmetros!D11)+(F137*(1+Parâmetros!D11))))/3)*(1+Parâmetros!E11)</f>
        <v>0</v>
      </c>
      <c r="H137" s="132">
        <f>G137*(1+Parâmetros!F11)</f>
        <v>0</v>
      </c>
      <c r="I137" s="132">
        <f>H137*(1+Parâmetros!G11)</f>
        <v>0</v>
      </c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</row>
    <row r="138" spans="1:177" s="8" customFormat="1" ht="12.75">
      <c r="A138" s="146" t="s">
        <v>53</v>
      </c>
      <c r="B138" s="131" t="s">
        <v>381</v>
      </c>
      <c r="C138" s="97">
        <v>0</v>
      </c>
      <c r="D138" s="97">
        <v>0</v>
      </c>
      <c r="E138" s="97">
        <v>0</v>
      </c>
      <c r="F138" s="97">
        <v>0</v>
      </c>
      <c r="G138" s="118">
        <f>(((D138*(1+Parâmetros!B11)*(1+Parâmetros!C11)*(1+Parâmetros!D11))+(E138*(1+Parâmetros!C11)*(1+Parâmetros!D11)+(F138*(1+Parâmetros!D11))))/3)*(1+Parâmetros!E11)</f>
        <v>0</v>
      </c>
      <c r="H138" s="132">
        <f>G138*(1+Parâmetros!F11)</f>
        <v>0</v>
      </c>
      <c r="I138" s="132">
        <f>H138*(1+Parâmetros!G11)</f>
        <v>0</v>
      </c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</row>
    <row r="139" spans="1:177" s="8" customFormat="1" ht="12.75">
      <c r="A139" s="146" t="s">
        <v>185</v>
      </c>
      <c r="B139" s="131" t="s">
        <v>131</v>
      </c>
      <c r="C139" s="138"/>
      <c r="D139" s="138"/>
      <c r="E139" s="138"/>
      <c r="F139" s="138"/>
      <c r="G139" s="132">
        <f>((G105-G17-G28-G72-G95-G97)-(G115+G116+G119+G120+G123+G124+G128+G129+G132+G133+G134+G136+G137))-1000000</f>
        <v>-11014362.859097004</v>
      </c>
      <c r="H139" s="132">
        <f>((H105-H17-H28-H72-H95-H97)-(H115+H116+H119+H120+H123+H124+H128+H129+H132+H133+H134+H136+H137))</f>
        <v>-18369831.681425527</v>
      </c>
      <c r="I139" s="132">
        <f>((I105-I17-I28-I72-I95-I97)-(I115+I116+I119+I120+I123+I124+I128+I129+I132+I133+I134+I136+I137))</f>
        <v>-38859828.009275973</v>
      </c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</row>
    <row r="140" spans="1:177" customFormat="1" ht="12.75">
      <c r="A140" s="146" t="s">
        <v>186</v>
      </c>
      <c r="B140" s="147" t="s">
        <v>147</v>
      </c>
      <c r="C140" s="138"/>
      <c r="D140" s="138"/>
      <c r="E140" s="138"/>
      <c r="F140" s="138"/>
      <c r="G140" s="132">
        <v>6964500</v>
      </c>
      <c r="H140" s="132">
        <f>H17+H28+H72+H95+H97-H117-H121-H125-H130-H138</f>
        <v>10706708.367544271</v>
      </c>
      <c r="I140" s="132">
        <f>I17+I28+I72+I95+I97-I117-I121-I125-I130-I138</f>
        <v>11475755.801688224</v>
      </c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</row>
    <row r="141" spans="1:177" s="9" customFormat="1" ht="29.25" customHeight="1" thickBot="1">
      <c r="A141" s="148"/>
      <c r="B141" s="134" t="s">
        <v>509</v>
      </c>
      <c r="C141" s="129">
        <f>C113+C126</f>
        <v>62589133.289999999</v>
      </c>
      <c r="D141" s="129">
        <f>D113+D126</f>
        <v>73555477.860000014</v>
      </c>
      <c r="E141" s="129">
        <f>E113+E126</f>
        <v>73226517.769999996</v>
      </c>
      <c r="F141" s="129">
        <f>F113+F126</f>
        <v>87989690</v>
      </c>
      <c r="G141" s="129">
        <f>G113+G126</f>
        <v>95254389.862251192</v>
      </c>
      <c r="H141" s="129">
        <f>H113+H126+H139+H140</f>
        <v>92941028.80769223</v>
      </c>
      <c r="I141" s="129">
        <f>I113+I126+I139+I140</f>
        <v>81815106.262516871</v>
      </c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  <c r="FI141" s="70"/>
      <c r="FJ141" s="70"/>
      <c r="FK141" s="70"/>
      <c r="FL141" s="70"/>
      <c r="FM141" s="70"/>
      <c r="FN141" s="70"/>
      <c r="FO141" s="70"/>
      <c r="FP141" s="70"/>
      <c r="FQ141" s="70"/>
      <c r="FR141" s="70"/>
      <c r="FS141" s="70"/>
      <c r="FT141" s="70"/>
      <c r="FU141" s="70"/>
    </row>
    <row r="142" spans="1:177" s="1" customFormat="1" ht="17.45" hidden="1" customHeight="1">
      <c r="A142" s="15"/>
      <c r="B142" s="19" t="s">
        <v>34</v>
      </c>
      <c r="C142" s="60"/>
      <c r="D142" s="61"/>
      <c r="E142" s="61"/>
      <c r="F142" s="61"/>
      <c r="G142" s="61"/>
      <c r="H142" s="61"/>
      <c r="I142" s="61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  <c r="DY142" s="65"/>
      <c r="DZ142" s="65"/>
      <c r="EA142" s="65"/>
      <c r="EB142" s="65"/>
      <c r="EC142" s="65"/>
      <c r="ED142" s="65"/>
      <c r="EE142" s="65"/>
      <c r="EF142" s="65"/>
      <c r="EG142" s="65"/>
      <c r="EH142" s="65"/>
      <c r="EI142" s="65"/>
      <c r="EJ142" s="65"/>
      <c r="EK142" s="65"/>
      <c r="EL142" s="65"/>
      <c r="EM142" s="65"/>
      <c r="EN142" s="65"/>
      <c r="EO142" s="65"/>
      <c r="EP142" s="65"/>
      <c r="EQ142" s="65"/>
      <c r="ER142" s="65"/>
      <c r="ES142" s="65"/>
      <c r="ET142" s="65"/>
      <c r="EU142" s="65"/>
      <c r="EV142" s="65"/>
      <c r="EW142" s="65"/>
      <c r="EX142" s="65"/>
      <c r="EY142" s="65"/>
      <c r="EZ142" s="65"/>
      <c r="FA142" s="65"/>
      <c r="FB142" s="65"/>
      <c r="FC142" s="65"/>
      <c r="FD142" s="65"/>
      <c r="FE142" s="65"/>
      <c r="FF142" s="65"/>
      <c r="FG142" s="65"/>
      <c r="FH142" s="65"/>
      <c r="FI142" s="65"/>
      <c r="FJ142" s="65"/>
      <c r="FK142" s="65"/>
      <c r="FL142" s="65"/>
      <c r="FM142" s="65"/>
      <c r="FN142" s="65"/>
      <c r="FO142" s="65"/>
      <c r="FP142" s="65"/>
      <c r="FQ142" s="65"/>
      <c r="FR142" s="65"/>
      <c r="FS142" s="65"/>
      <c r="FT142" s="65"/>
      <c r="FU142" s="65"/>
    </row>
    <row r="143" spans="1:177" s="1" customFormat="1" ht="17.45" hidden="1" customHeight="1">
      <c r="A143" s="16"/>
      <c r="B143" s="17" t="s">
        <v>7</v>
      </c>
      <c r="C143" s="18" t="s">
        <v>9</v>
      </c>
      <c r="D143" s="18" t="e">
        <f>IF(#REF!&gt;0,"REALIZADO","PROJETADO")</f>
        <v>#REF!</v>
      </c>
      <c r="E143" s="18" t="e">
        <f>IF(#REF!&gt;0,"REALIZADO","PROJETADO")</f>
        <v>#REF!</v>
      </c>
      <c r="F143" s="18" t="e">
        <f>IF(#REF!&gt;0,"REALIZADO","PROJETADO")</f>
        <v>#REF!</v>
      </c>
      <c r="G143" s="18" t="s">
        <v>12</v>
      </c>
      <c r="H143" s="18"/>
      <c r="I143" s="18" t="s">
        <v>12</v>
      </c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  <c r="DW143" s="65"/>
      <c r="DX143" s="65"/>
      <c r="DY143" s="65"/>
      <c r="DZ143" s="65"/>
      <c r="EA143" s="65"/>
      <c r="EB143" s="65"/>
      <c r="EC143" s="65"/>
      <c r="ED143" s="65"/>
      <c r="EE143" s="65"/>
      <c r="EF143" s="65"/>
      <c r="EG143" s="65"/>
      <c r="EH143" s="65"/>
      <c r="EI143" s="65"/>
      <c r="EJ143" s="65"/>
      <c r="EK143" s="65"/>
      <c r="EL143" s="65"/>
      <c r="EM143" s="65"/>
      <c r="EN143" s="65"/>
      <c r="EO143" s="65"/>
      <c r="EP143" s="65"/>
      <c r="EQ143" s="65"/>
      <c r="ER143" s="65"/>
      <c r="ES143" s="65"/>
      <c r="ET143" s="65"/>
      <c r="EU143" s="65"/>
      <c r="EV143" s="65"/>
      <c r="EW143" s="65"/>
      <c r="EX143" s="65"/>
      <c r="EY143" s="65"/>
      <c r="EZ143" s="65"/>
      <c r="FA143" s="65"/>
      <c r="FB143" s="65"/>
      <c r="FC143" s="65"/>
      <c r="FD143" s="65"/>
      <c r="FE143" s="65"/>
      <c r="FF143" s="65"/>
      <c r="FG143" s="65"/>
      <c r="FH143" s="65"/>
      <c r="FI143" s="65"/>
      <c r="FJ143" s="65"/>
      <c r="FK143" s="65"/>
      <c r="FL143" s="65"/>
      <c r="FM143" s="65"/>
      <c r="FN143" s="65"/>
      <c r="FO143" s="65"/>
      <c r="FP143" s="65"/>
      <c r="FQ143" s="65"/>
      <c r="FR143" s="65"/>
      <c r="FS143" s="65"/>
      <c r="FT143" s="65"/>
      <c r="FU143" s="65"/>
    </row>
    <row r="144" spans="1:177" s="1" customFormat="1" ht="17.25" hidden="1" customHeight="1">
      <c r="A144" s="16"/>
      <c r="B144" s="62" t="s">
        <v>6</v>
      </c>
      <c r="C144" s="63">
        <v>1999</v>
      </c>
      <c r="D144" s="63">
        <v>2000</v>
      </c>
      <c r="E144" s="63">
        <v>2001</v>
      </c>
      <c r="F144" s="63">
        <v>2002</v>
      </c>
      <c r="G144" s="63">
        <v>2003</v>
      </c>
      <c r="H144" s="63"/>
      <c r="I144" s="63">
        <v>2004</v>
      </c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  <c r="DW144" s="65"/>
      <c r="DX144" s="65"/>
      <c r="DY144" s="65"/>
      <c r="DZ144" s="65"/>
      <c r="EA144" s="65"/>
      <c r="EB144" s="65"/>
      <c r="EC144" s="65"/>
      <c r="ED144" s="65"/>
      <c r="EE144" s="65"/>
      <c r="EF144" s="65"/>
      <c r="EG144" s="65"/>
      <c r="EH144" s="65"/>
      <c r="EI144" s="65"/>
      <c r="EJ144" s="65"/>
      <c r="EK144" s="65"/>
      <c r="EL144" s="65"/>
      <c r="EM144" s="65"/>
      <c r="EN144" s="65"/>
      <c r="EO144" s="65"/>
      <c r="EP144" s="65"/>
      <c r="EQ144" s="65"/>
      <c r="ER144" s="65"/>
      <c r="ES144" s="65"/>
      <c r="ET144" s="65"/>
      <c r="EU144" s="65"/>
      <c r="EV144" s="65"/>
      <c r="EW144" s="65"/>
      <c r="EX144" s="65"/>
      <c r="EY144" s="65"/>
      <c r="EZ144" s="65"/>
      <c r="FA144" s="65"/>
      <c r="FB144" s="65"/>
      <c r="FC144" s="65"/>
      <c r="FD144" s="65"/>
      <c r="FE144" s="65"/>
      <c r="FF144" s="65"/>
      <c r="FG144" s="65"/>
      <c r="FH144" s="65"/>
      <c r="FI144" s="65"/>
      <c r="FJ144" s="65"/>
      <c r="FK144" s="65"/>
      <c r="FL144" s="65"/>
      <c r="FM144" s="65"/>
      <c r="FN144" s="65"/>
      <c r="FO144" s="65"/>
      <c r="FP144" s="65"/>
      <c r="FQ144" s="65"/>
      <c r="FR144" s="65"/>
      <c r="FS144" s="65"/>
      <c r="FT144" s="65"/>
      <c r="FU144" s="65"/>
    </row>
    <row r="145" spans="1:177" s="1" customFormat="1" ht="17.45" hidden="1" customHeight="1">
      <c r="A145" s="16"/>
      <c r="B145" s="19"/>
      <c r="C145" s="20"/>
      <c r="D145" s="20"/>
      <c r="E145" s="20"/>
      <c r="F145" s="20"/>
      <c r="G145" s="20"/>
      <c r="H145" s="20"/>
      <c r="I145" s="20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  <c r="DW145" s="65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5"/>
      <c r="EL145" s="65"/>
      <c r="EM145" s="65"/>
      <c r="EN145" s="65"/>
      <c r="EO145" s="65"/>
      <c r="EP145" s="65"/>
      <c r="EQ145" s="65"/>
      <c r="ER145" s="65"/>
      <c r="ES145" s="65"/>
      <c r="ET145" s="65"/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65"/>
      <c r="FK145" s="65"/>
      <c r="FL145" s="65"/>
      <c r="FM145" s="65"/>
      <c r="FN145" s="65"/>
      <c r="FO145" s="65"/>
      <c r="FP145" s="65"/>
      <c r="FQ145" s="65"/>
      <c r="FR145" s="65"/>
      <c r="FS145" s="65"/>
      <c r="FT145" s="65"/>
      <c r="FU145" s="65"/>
    </row>
    <row r="146" spans="1:177" s="1" customFormat="1" ht="16.5" hidden="1" thickBot="1">
      <c r="A146" s="16"/>
      <c r="B146" s="19" t="s">
        <v>14</v>
      </c>
      <c r="C146" s="21" t="e">
        <f>C8-#REF!-C14+C150-#REF!</f>
        <v>#REF!</v>
      </c>
      <c r="D146" s="21" t="e">
        <f>D8-#REF!-D14+D150-#REF!</f>
        <v>#REF!</v>
      </c>
      <c r="E146" s="21" t="e">
        <f>E8-#REF!-E14+E150-#REF!</f>
        <v>#REF!</v>
      </c>
      <c r="F146" s="21" t="e">
        <f>F8-#REF!-F14+F150-#REF!</f>
        <v>#REF!</v>
      </c>
      <c r="G146" s="21" t="e">
        <f>G8-#REF!-G14+G150-#REF!</f>
        <v>#REF!</v>
      </c>
      <c r="H146" s="21"/>
      <c r="I146" s="21" t="e">
        <f>I8-#REF!-I14+I150-#REF!</f>
        <v>#REF!</v>
      </c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  <c r="DW146" s="65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5"/>
      <c r="EL146" s="65"/>
      <c r="EM146" s="65"/>
      <c r="EN146" s="65"/>
      <c r="EO146" s="65"/>
      <c r="EP146" s="65"/>
      <c r="EQ146" s="65"/>
      <c r="ER146" s="65"/>
      <c r="ES146" s="65"/>
      <c r="ET146" s="65"/>
      <c r="EU146" s="65"/>
      <c r="EV146" s="65"/>
      <c r="EW146" s="65"/>
      <c r="EX146" s="65"/>
      <c r="EY146" s="65"/>
      <c r="EZ146" s="65"/>
      <c r="FA146" s="65"/>
      <c r="FB146" s="65"/>
      <c r="FC146" s="65"/>
      <c r="FD146" s="65"/>
      <c r="FE146" s="65"/>
      <c r="FF146" s="65"/>
      <c r="FG146" s="65"/>
      <c r="FH146" s="65"/>
      <c r="FI146" s="65"/>
      <c r="FJ146" s="65"/>
      <c r="FK146" s="65"/>
      <c r="FL146" s="65"/>
      <c r="FM146" s="65"/>
      <c r="FN146" s="65"/>
      <c r="FO146" s="65"/>
      <c r="FP146" s="65"/>
      <c r="FQ146" s="65"/>
      <c r="FR146" s="65"/>
      <c r="FS146" s="65"/>
      <c r="FT146" s="65"/>
      <c r="FU146" s="65"/>
    </row>
    <row r="147" spans="1:177" s="1" customFormat="1" ht="16.5" hidden="1" thickBot="1">
      <c r="A147" s="16"/>
      <c r="B147" s="19" t="s">
        <v>15</v>
      </c>
      <c r="C147" s="21">
        <f>C9</f>
        <v>9618482.1699999981</v>
      </c>
      <c r="D147" s="21">
        <f>D9</f>
        <v>10129979.310000001</v>
      </c>
      <c r="E147" s="21">
        <f>E9</f>
        <v>10559311.320000002</v>
      </c>
      <c r="F147" s="21">
        <f>F9</f>
        <v>14368650</v>
      </c>
      <c r="G147" s="21">
        <f>G9</f>
        <v>13472687.84307358</v>
      </c>
      <c r="H147" s="21"/>
      <c r="I147" s="21">
        <f>I9</f>
        <v>15488645.408973452</v>
      </c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</row>
    <row r="148" spans="1:177" s="1" customFormat="1" ht="16.5" hidden="1" thickBot="1">
      <c r="A148" s="16"/>
      <c r="B148" s="19" t="s">
        <v>16</v>
      </c>
      <c r="C148" s="21" t="e">
        <f>C19+C20+C21+#REF!+#REF!+#REF!+#REF!</f>
        <v>#REF!</v>
      </c>
      <c r="D148" s="21" t="e">
        <f>D19+D20+D21+#REF!+#REF!+#REF!+#REF!</f>
        <v>#REF!</v>
      </c>
      <c r="E148" s="21" t="e">
        <f>E19+E20+E21+#REF!+#REF!+#REF!+#REF!</f>
        <v>#REF!</v>
      </c>
      <c r="F148" s="21" t="e">
        <f>F19+F20+F21+#REF!+#REF!+#REF!+#REF!</f>
        <v>#REF!</v>
      </c>
      <c r="G148" s="21" t="e">
        <f>G19+G20+G21+#REF!+#REF!+#REF!+#REF!</f>
        <v>#REF!</v>
      </c>
      <c r="H148" s="21"/>
      <c r="I148" s="21" t="e">
        <f>I19+I20+I21+#REF!+#REF!+#REF!+#REF!</f>
        <v>#REF!</v>
      </c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5"/>
      <c r="FM148" s="65"/>
      <c r="FN148" s="65"/>
      <c r="FO148" s="65"/>
      <c r="FP148" s="65"/>
      <c r="FQ148" s="65"/>
      <c r="FR148" s="65"/>
      <c r="FS148" s="65"/>
      <c r="FT148" s="65"/>
      <c r="FU148" s="65"/>
    </row>
    <row r="149" spans="1:177" s="1" customFormat="1" ht="16.5" hidden="1" thickBot="1">
      <c r="A149" s="16"/>
      <c r="B149" s="19" t="s">
        <v>17</v>
      </c>
      <c r="C149" s="21" t="e">
        <f>#REF!</f>
        <v>#REF!</v>
      </c>
      <c r="D149" s="21" t="e">
        <f>#REF!</f>
        <v>#REF!</v>
      </c>
      <c r="E149" s="21" t="e">
        <f>#REF!</f>
        <v>#REF!</v>
      </c>
      <c r="F149" s="21" t="e">
        <f>#REF!</f>
        <v>#REF!</v>
      </c>
      <c r="G149" s="21" t="e">
        <f>#REF!</f>
        <v>#REF!</v>
      </c>
      <c r="H149" s="21"/>
      <c r="I149" s="21" t="e">
        <f>#REF!</f>
        <v>#REF!</v>
      </c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</row>
    <row r="150" spans="1:177" s="1" customFormat="1" ht="16.5" hidden="1" thickBot="1">
      <c r="A150" s="16"/>
      <c r="B150" s="19" t="s">
        <v>18</v>
      </c>
      <c r="C150" s="21" t="e">
        <f>#REF!-#REF!</f>
        <v>#REF!</v>
      </c>
      <c r="D150" s="21" t="e">
        <f>#REF!-#REF!</f>
        <v>#REF!</v>
      </c>
      <c r="E150" s="21" t="e">
        <f>#REF!-#REF!</f>
        <v>#REF!</v>
      </c>
      <c r="F150" s="21" t="e">
        <f>#REF!-#REF!</f>
        <v>#REF!</v>
      </c>
      <c r="G150" s="21" t="e">
        <f>#REF!-#REF!</f>
        <v>#REF!</v>
      </c>
      <c r="H150" s="21"/>
      <c r="I150" s="21" t="e">
        <f>#REF!-#REF!</f>
        <v>#REF!</v>
      </c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</row>
    <row r="151" spans="1:177" s="1" customFormat="1" ht="16.5" hidden="1" thickBot="1">
      <c r="A151" s="16"/>
      <c r="B151" s="19" t="s">
        <v>19</v>
      </c>
      <c r="C151" s="21" t="e">
        <f>#REF!</f>
        <v>#REF!</v>
      </c>
      <c r="D151" s="21" t="e">
        <f>#REF!</f>
        <v>#REF!</v>
      </c>
      <c r="E151" s="21" t="e">
        <f>#REF!</f>
        <v>#REF!</v>
      </c>
      <c r="F151" s="21" t="e">
        <f>#REF!</f>
        <v>#REF!</v>
      </c>
      <c r="G151" s="21" t="e">
        <f>#REF!</f>
        <v>#REF!</v>
      </c>
      <c r="H151" s="21"/>
      <c r="I151" s="21" t="e">
        <f>#REF!</f>
        <v>#REF!</v>
      </c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</row>
    <row r="152" spans="1:177" s="1" customFormat="1" ht="16.5" hidden="1" thickBot="1">
      <c r="A152" s="16"/>
      <c r="B152" s="19" t="s">
        <v>20</v>
      </c>
      <c r="C152" s="21" t="e">
        <f>#REF!</f>
        <v>#REF!</v>
      </c>
      <c r="D152" s="21" t="e">
        <f>#REF!</f>
        <v>#REF!</v>
      </c>
      <c r="E152" s="21" t="e">
        <f>#REF!</f>
        <v>#REF!</v>
      </c>
      <c r="F152" s="21" t="e">
        <f>#REF!</f>
        <v>#REF!</v>
      </c>
      <c r="G152" s="21" t="e">
        <f>#REF!</f>
        <v>#REF!</v>
      </c>
      <c r="H152" s="21"/>
      <c r="I152" s="21" t="e">
        <f>#REF!</f>
        <v>#REF!</v>
      </c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</row>
    <row r="153" spans="1:177" s="1" customFormat="1" ht="16.5" hidden="1" thickBot="1">
      <c r="A153" s="16"/>
      <c r="B153" s="19" t="s">
        <v>21</v>
      </c>
      <c r="C153" s="21" t="e">
        <f>#REF!</f>
        <v>#REF!</v>
      </c>
      <c r="D153" s="21" t="e">
        <f>#REF!</f>
        <v>#REF!</v>
      </c>
      <c r="E153" s="21" t="e">
        <f>#REF!</f>
        <v>#REF!</v>
      </c>
      <c r="F153" s="21" t="e">
        <f>#REF!</f>
        <v>#REF!</v>
      </c>
      <c r="G153" s="21" t="e">
        <f>#REF!</f>
        <v>#REF!</v>
      </c>
      <c r="H153" s="21"/>
      <c r="I153" s="21" t="e">
        <f>#REF!</f>
        <v>#REF!</v>
      </c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</row>
    <row r="154" spans="1:177" s="1" customFormat="1" ht="16.5" hidden="1" thickBot="1">
      <c r="A154" s="16"/>
      <c r="B154" s="19" t="s">
        <v>22</v>
      </c>
      <c r="C154" s="21" t="e">
        <f>#REF!</f>
        <v>#REF!</v>
      </c>
      <c r="D154" s="21" t="e">
        <f>#REF!</f>
        <v>#REF!</v>
      </c>
      <c r="E154" s="21" t="e">
        <f>#REF!</f>
        <v>#REF!</v>
      </c>
      <c r="F154" s="21" t="e">
        <f>#REF!</f>
        <v>#REF!</v>
      </c>
      <c r="G154" s="21" t="e">
        <f>#REF!</f>
        <v>#REF!</v>
      </c>
      <c r="H154" s="21"/>
      <c r="I154" s="21" t="e">
        <f>#REF!</f>
        <v>#REF!</v>
      </c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</row>
    <row r="155" spans="1:177" s="1" customFormat="1" ht="16.5" hidden="1" thickBot="1">
      <c r="A155" s="16"/>
      <c r="B155" s="19" t="s">
        <v>23</v>
      </c>
      <c r="C155" s="21" t="e">
        <f>#REF!+#REF!+C132+C133+C135+#REF!+C140+C141+C118+#REF!</f>
        <v>#REF!</v>
      </c>
      <c r="D155" s="21" t="e">
        <f>#REF!+#REF!+D132+D133+D135+#REF!+D140+D141+D118+#REF!</f>
        <v>#REF!</v>
      </c>
      <c r="E155" s="21" t="e">
        <f>#REF!+#REF!+E132+E133+E135+#REF!+E140+E141+E118+#REF!</f>
        <v>#REF!</v>
      </c>
      <c r="F155" s="21" t="e">
        <f>#REF!+#REF!+F132+F133+F135+#REF!+F140+F141+F118+#REF!</f>
        <v>#REF!</v>
      </c>
      <c r="G155" s="21" t="e">
        <f>#REF!+#REF!+G132+G133+G135+#REF!+G140+G141+G118+#REF!</f>
        <v>#REF!</v>
      </c>
      <c r="H155" s="21"/>
      <c r="I155" s="21" t="e">
        <f>#REF!+#REF!+I132+I133+I135+#REF!+I140+I141+I118+#REF!</f>
        <v>#REF!</v>
      </c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</row>
    <row r="156" spans="1:177" s="1" customFormat="1" ht="16.5" hidden="1" thickBot="1">
      <c r="A156" s="16"/>
      <c r="B156" s="19" t="s">
        <v>24</v>
      </c>
      <c r="C156" s="21" t="e">
        <f>#REF!+#REF!</f>
        <v>#REF!</v>
      </c>
      <c r="D156" s="21" t="e">
        <f>#REF!+#REF!</f>
        <v>#REF!</v>
      </c>
      <c r="E156" s="21" t="e">
        <f>#REF!+#REF!</f>
        <v>#REF!</v>
      </c>
      <c r="F156" s="21" t="e">
        <f>#REF!+#REF!</f>
        <v>#REF!</v>
      </c>
      <c r="G156" s="21" t="e">
        <f>#REF!+#REF!</f>
        <v>#REF!</v>
      </c>
      <c r="H156" s="21"/>
      <c r="I156" s="21" t="e">
        <f>#REF!+#REF!</f>
        <v>#REF!</v>
      </c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</row>
    <row r="157" spans="1:177" s="1" customFormat="1" ht="16.5" hidden="1" thickBot="1">
      <c r="A157" s="16"/>
      <c r="B157" s="19" t="s">
        <v>25</v>
      </c>
      <c r="C157" s="21">
        <f>C127+C131</f>
        <v>1534353.56</v>
      </c>
      <c r="D157" s="21">
        <f>D127+D131</f>
        <v>4412036.1400000006</v>
      </c>
      <c r="E157" s="21">
        <f>E127+E131</f>
        <v>1627698.07</v>
      </c>
      <c r="F157" s="21">
        <f>F127+F131</f>
        <v>5286950</v>
      </c>
      <c r="G157" s="21">
        <f>G127+G131</f>
        <v>5994510.8799999999</v>
      </c>
      <c r="H157" s="21"/>
      <c r="I157" s="21">
        <f>I127+I131</f>
        <v>8000000</v>
      </c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</row>
    <row r="158" spans="1:177" s="1" customFormat="1" ht="16.5" hidden="1" thickBot="1">
      <c r="A158" s="16"/>
      <c r="B158" s="19" t="s">
        <v>26</v>
      </c>
      <c r="C158" s="21" t="e">
        <f>#REF!</f>
        <v>#REF!</v>
      </c>
      <c r="D158" s="21" t="e">
        <f>#REF!</f>
        <v>#REF!</v>
      </c>
      <c r="E158" s="21" t="e">
        <f>#REF!</f>
        <v>#REF!</v>
      </c>
      <c r="F158" s="21" t="e">
        <f>#REF!</f>
        <v>#REF!</v>
      </c>
      <c r="G158" s="21" t="e">
        <f>#REF!</f>
        <v>#REF!</v>
      </c>
      <c r="H158" s="21"/>
      <c r="I158" s="21" t="e">
        <f>#REF!</f>
        <v>#REF!</v>
      </c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</row>
    <row r="159" spans="1:177" s="1" customFormat="1" ht="16.5" hidden="1" thickBot="1">
      <c r="A159" s="16"/>
      <c r="B159" s="19" t="s">
        <v>27</v>
      </c>
      <c r="C159" s="21" t="e">
        <f>C122+#REF!+#REF!+#REF!+#REF!+#REF!+#REF!</f>
        <v>#REF!</v>
      </c>
      <c r="D159" s="21" t="e">
        <f>D122+#REF!+#REF!+#REF!+#REF!+#REF!+#REF!</f>
        <v>#REF!</v>
      </c>
      <c r="E159" s="21" t="e">
        <f>E122+#REF!+#REF!+#REF!+#REF!+#REF!+#REF!</f>
        <v>#REF!</v>
      </c>
      <c r="F159" s="21" t="e">
        <f>F122+#REF!+#REF!+#REF!+#REF!+#REF!+#REF!</f>
        <v>#REF!</v>
      </c>
      <c r="G159" s="21" t="e">
        <f>G122+#REF!+#REF!+#REF!+#REF!+#REF!+#REF!</f>
        <v>#REF!</v>
      </c>
      <c r="H159" s="21"/>
      <c r="I159" s="21" t="e">
        <f>I122+#REF!+#REF!+#REF!+#REF!+#REF!+#REF!</f>
        <v>#REF!</v>
      </c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</row>
    <row r="160" spans="1:177" s="1" customFormat="1" ht="16.5" hidden="1" thickBot="1">
      <c r="A160" s="16"/>
      <c r="B160" s="19" t="s">
        <v>33</v>
      </c>
      <c r="C160" s="21" t="e">
        <f>#REF!</f>
        <v>#REF!</v>
      </c>
      <c r="D160" s="21" t="e">
        <f>#REF!</f>
        <v>#REF!</v>
      </c>
      <c r="E160" s="21" t="e">
        <f>#REF!</f>
        <v>#REF!</v>
      </c>
      <c r="F160" s="21" t="e">
        <f>#REF!</f>
        <v>#REF!</v>
      </c>
      <c r="G160" s="21" t="e">
        <f>#REF!</f>
        <v>#REF!</v>
      </c>
      <c r="H160" s="21"/>
      <c r="I160" s="21" t="e">
        <f>#REF!</f>
        <v>#REF!</v>
      </c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</row>
    <row r="161" spans="1:177" s="1" customFormat="1" ht="16.5" hidden="1" thickBot="1">
      <c r="A161" s="16"/>
      <c r="B161" s="19" t="s">
        <v>28</v>
      </c>
      <c r="C161" s="21" t="e">
        <f>#REF!+#REF!</f>
        <v>#REF!</v>
      </c>
      <c r="D161" s="21" t="e">
        <f>#REF!+#REF!</f>
        <v>#REF!</v>
      </c>
      <c r="E161" s="21" t="e">
        <f>#REF!+#REF!</f>
        <v>#REF!</v>
      </c>
      <c r="F161" s="21" t="e">
        <f>#REF!+#REF!</f>
        <v>#REF!</v>
      </c>
      <c r="G161" s="21" t="e">
        <f>#REF!+#REF!</f>
        <v>#REF!</v>
      </c>
      <c r="H161" s="21"/>
      <c r="I161" s="21" t="e">
        <f>#REF!+#REF!</f>
        <v>#REF!</v>
      </c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</row>
    <row r="162" spans="1:177" s="1" customFormat="1" ht="16.5" hidden="1" thickBot="1">
      <c r="A162" s="16"/>
      <c r="B162" s="19" t="s">
        <v>29</v>
      </c>
      <c r="C162" s="21" t="e">
        <f>#REF!+#REF!</f>
        <v>#REF!</v>
      </c>
      <c r="D162" s="21" t="e">
        <f>#REF!+#REF!</f>
        <v>#REF!</v>
      </c>
      <c r="E162" s="21" t="e">
        <f>#REF!+#REF!</f>
        <v>#REF!</v>
      </c>
      <c r="F162" s="21" t="e">
        <f>#REF!+#REF!</f>
        <v>#REF!</v>
      </c>
      <c r="G162" s="21" t="e">
        <f>#REF!+#REF!</f>
        <v>#REF!</v>
      </c>
      <c r="H162" s="21"/>
      <c r="I162" s="21" t="e">
        <f>#REF!+#REF!</f>
        <v>#REF!</v>
      </c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</row>
    <row r="163" spans="1:177" s="1" customFormat="1" ht="16.5" hidden="1" thickBot="1">
      <c r="A163" s="16"/>
      <c r="B163" s="19" t="s">
        <v>30</v>
      </c>
      <c r="C163" s="21" t="e">
        <f>C161+C162</f>
        <v>#REF!</v>
      </c>
      <c r="D163" s="21" t="e">
        <f t="shared" ref="D163:I163" si="29">D161+D162</f>
        <v>#REF!</v>
      </c>
      <c r="E163" s="21" t="e">
        <f t="shared" si="29"/>
        <v>#REF!</v>
      </c>
      <c r="F163" s="21" t="e">
        <f t="shared" si="29"/>
        <v>#REF!</v>
      </c>
      <c r="G163" s="21" t="e">
        <f t="shared" si="29"/>
        <v>#REF!</v>
      </c>
      <c r="H163" s="21"/>
      <c r="I163" s="21" t="e">
        <f t="shared" si="29"/>
        <v>#REF!</v>
      </c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</row>
    <row r="164" spans="1:177" s="1" customFormat="1" ht="16.5" hidden="1" thickBot="1">
      <c r="A164" s="16"/>
      <c r="B164" s="19" t="s">
        <v>31</v>
      </c>
      <c r="C164" s="21" t="e">
        <f xml:space="preserve"> ((C8+#REF!)-(C148)-((#REF!+#REF!)-C163))</f>
        <v>#REF!</v>
      </c>
      <c r="D164" s="21" t="e">
        <f xml:space="preserve"> ((D8+#REF!)-(D148)-((#REF!+#REF!)-D163))</f>
        <v>#REF!</v>
      </c>
      <c r="E164" s="21" t="e">
        <f xml:space="preserve"> ((E8+#REF!)-(E148)-((#REF!+#REF!)-E163))</f>
        <v>#REF!</v>
      </c>
      <c r="F164" s="21" t="e">
        <f xml:space="preserve"> ((F8+#REF!)-(F148)-((#REF!+#REF!)-F163))</f>
        <v>#REF!</v>
      </c>
      <c r="G164" s="21" t="e">
        <f xml:space="preserve"> ((G8+#REF!)-(G148)-((#REF!+#REF!)-G163))</f>
        <v>#REF!</v>
      </c>
      <c r="H164" s="21"/>
      <c r="I164" s="21" t="e">
        <f xml:space="preserve"> ((I8+#REF!)-(I148)-((#REF!+#REF!)-I163))</f>
        <v>#REF!</v>
      </c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</row>
    <row r="165" spans="1:177" s="1" customFormat="1" ht="16.5" hidden="1" thickBot="1">
      <c r="A165" s="16"/>
      <c r="B165" s="22" t="s">
        <v>32</v>
      </c>
      <c r="C165" s="23" t="e">
        <f>-(C164-(C161-C19-C20-C21-#REF!))</f>
        <v>#REF!</v>
      </c>
      <c r="D165" s="23" t="e">
        <f>-(D164-(D161-D19-D20-D21-#REF!))</f>
        <v>#REF!</v>
      </c>
      <c r="E165" s="23" t="e">
        <f>-(E164-(E161-E19-E20-E21-#REF!))</f>
        <v>#REF!</v>
      </c>
      <c r="F165" s="23" t="e">
        <f>-(F164-(F161-F19-F20-F21-#REF!))</f>
        <v>#REF!</v>
      </c>
      <c r="G165" s="23" t="e">
        <f>-(G164-(G161-G19-G20-G21-#REF!))</f>
        <v>#REF!</v>
      </c>
      <c r="H165" s="23"/>
      <c r="I165" s="23" t="e">
        <f>-(I164-(I161-I19-I20-I21-#REF!))</f>
        <v>#REF!</v>
      </c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</row>
    <row r="166" spans="1:177" s="1" customFormat="1" ht="16.5" thickTop="1">
      <c r="A166" s="16"/>
      <c r="B166" s="24"/>
      <c r="C166" s="24"/>
      <c r="D166" s="24"/>
      <c r="E166" s="24"/>
      <c r="F166" s="24"/>
      <c r="G166" s="24"/>
      <c r="H166" s="24"/>
      <c r="I166" s="24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</row>
    <row r="167" spans="1:177" s="1" customFormat="1">
      <c r="B167" s="5"/>
      <c r="C167" s="5"/>
      <c r="D167" s="5"/>
      <c r="E167" s="5"/>
      <c r="F167" s="5"/>
      <c r="G167" s="5"/>
      <c r="H167" s="5"/>
      <c r="I167" s="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</row>
    <row r="168" spans="1:177" s="1" customFormat="1">
      <c r="B168" s="5"/>
      <c r="C168" s="5"/>
      <c r="D168" s="5"/>
      <c r="E168" s="5"/>
      <c r="F168" s="5"/>
      <c r="G168" s="5"/>
      <c r="H168" s="5"/>
      <c r="I168" s="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</row>
    <row r="169" spans="1:177" s="1" customFormat="1">
      <c r="B169" s="5"/>
      <c r="C169" s="5"/>
      <c r="D169" s="5"/>
      <c r="E169" s="5"/>
      <c r="F169" s="5"/>
      <c r="G169" s="5"/>
      <c r="H169" s="5"/>
      <c r="I169" s="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</row>
    <row r="170" spans="1:177" s="1" customFormat="1">
      <c r="B170" s="5"/>
      <c r="C170" s="5"/>
      <c r="D170" s="5"/>
      <c r="E170" s="5"/>
      <c r="F170" s="5"/>
      <c r="G170" s="5"/>
      <c r="H170" s="5"/>
      <c r="I170" s="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</row>
    <row r="171" spans="1:177" s="1" customFormat="1">
      <c r="B171" s="2"/>
      <c r="C171" s="5"/>
      <c r="D171" s="5"/>
      <c r="E171" s="5"/>
      <c r="F171" s="5"/>
      <c r="G171" s="5"/>
      <c r="H171" s="5"/>
      <c r="I171" s="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</row>
    <row r="172" spans="1:177" s="1" customFormat="1">
      <c r="B172" s="5"/>
      <c r="C172" s="5"/>
      <c r="D172" s="5"/>
      <c r="E172" s="5"/>
      <c r="F172" s="5"/>
      <c r="G172" s="5"/>
      <c r="H172" s="5"/>
      <c r="I172" s="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</row>
    <row r="173" spans="1:177" s="1" customFormat="1">
      <c r="B173" s="5"/>
      <c r="C173" s="5"/>
      <c r="D173" s="5"/>
      <c r="E173" s="5"/>
      <c r="F173" s="5"/>
      <c r="G173" s="5"/>
      <c r="H173" s="5"/>
      <c r="I173" s="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</row>
    <row r="174" spans="1:177" s="1" customFormat="1">
      <c r="B174" s="5"/>
      <c r="C174" s="5"/>
      <c r="D174" s="5"/>
      <c r="E174" s="5"/>
      <c r="F174" s="5"/>
      <c r="G174" s="5"/>
      <c r="H174" s="5"/>
      <c r="I174" s="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</row>
    <row r="175" spans="1:177" s="1" customFormat="1">
      <c r="B175" s="5"/>
      <c r="C175" s="5"/>
      <c r="D175" s="5"/>
      <c r="E175" s="5"/>
      <c r="F175" s="5"/>
      <c r="G175" s="5"/>
      <c r="H175" s="5"/>
      <c r="I175" s="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</row>
    <row r="176" spans="1:177" s="1" customFormat="1">
      <c r="B176" s="5"/>
      <c r="C176" s="5"/>
      <c r="D176" s="5"/>
      <c r="E176" s="5"/>
      <c r="F176" s="5"/>
      <c r="G176" s="5"/>
      <c r="H176" s="5"/>
      <c r="I176" s="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</row>
    <row r="177" spans="2:177" s="1" customFormat="1">
      <c r="B177" s="5"/>
      <c r="C177" s="5"/>
      <c r="D177" s="5"/>
      <c r="E177" s="5"/>
      <c r="F177" s="5"/>
      <c r="G177" s="5"/>
      <c r="H177" s="5"/>
      <c r="I177" s="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</row>
    <row r="178" spans="2:177" s="1" customFormat="1" ht="19.149999999999999" customHeight="1">
      <c r="B178" s="5"/>
      <c r="C178" s="5"/>
      <c r="D178" s="5"/>
      <c r="E178" s="5"/>
      <c r="F178" s="5"/>
      <c r="G178" s="5"/>
      <c r="H178" s="5"/>
      <c r="I178" s="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</row>
    <row r="179" spans="2:177" s="2" customFormat="1">
      <c r="B179" s="5"/>
      <c r="C179" s="5"/>
      <c r="D179" s="5"/>
      <c r="E179" s="5"/>
      <c r="F179" s="5"/>
      <c r="G179" s="5"/>
      <c r="H179" s="5"/>
      <c r="I179" s="5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</row>
    <row r="180" spans="2:177" s="1" customFormat="1">
      <c r="B180" s="5"/>
      <c r="C180" s="5"/>
      <c r="D180" s="5"/>
      <c r="E180" s="5"/>
      <c r="F180" s="5"/>
      <c r="G180" s="5"/>
      <c r="H180" s="5"/>
      <c r="I180" s="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</row>
    <row r="181" spans="2:177" s="1" customFormat="1">
      <c r="B181" s="5"/>
      <c r="C181" s="5"/>
      <c r="D181" s="5"/>
      <c r="E181" s="5"/>
      <c r="F181" s="5"/>
      <c r="G181" s="5"/>
      <c r="H181" s="5"/>
      <c r="I181" s="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</row>
    <row r="182" spans="2:177" s="1" customFormat="1">
      <c r="B182" s="5"/>
      <c r="C182" s="5"/>
      <c r="D182" s="5"/>
      <c r="E182" s="5"/>
      <c r="F182" s="5"/>
      <c r="G182" s="5"/>
      <c r="H182" s="5"/>
      <c r="I182" s="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</row>
    <row r="183" spans="2:177" s="1" customFormat="1">
      <c r="B183" s="5"/>
      <c r="C183" s="5"/>
      <c r="D183" s="5"/>
      <c r="E183" s="5"/>
      <c r="F183" s="5"/>
      <c r="G183" s="5"/>
      <c r="H183" s="5"/>
      <c r="I183" s="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</row>
    <row r="184" spans="2:177" s="1" customFormat="1">
      <c r="B184" s="5"/>
      <c r="C184" s="5"/>
      <c r="D184" s="5"/>
      <c r="E184" s="5"/>
      <c r="F184" s="5"/>
      <c r="G184" s="5"/>
      <c r="H184" s="5"/>
      <c r="I184" s="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</row>
    <row r="185" spans="2:177" s="3" customFormat="1">
      <c r="B185" s="5"/>
      <c r="C185" s="6"/>
      <c r="D185" s="6"/>
      <c r="E185" s="6"/>
      <c r="F185" s="6"/>
      <c r="G185" s="6"/>
      <c r="H185" s="6"/>
      <c r="I185" s="6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1"/>
      <c r="ER185" s="71"/>
      <c r="ES185" s="71"/>
      <c r="ET185" s="71"/>
      <c r="EU185" s="71"/>
      <c r="EV185" s="71"/>
      <c r="EW185" s="71"/>
      <c r="EX185" s="71"/>
      <c r="EY185" s="71"/>
      <c r="EZ185" s="71"/>
      <c r="FA185" s="71"/>
      <c r="FB185" s="71"/>
      <c r="FC185" s="71"/>
      <c r="FD185" s="71"/>
      <c r="FE185" s="71"/>
      <c r="FF185" s="71"/>
      <c r="FG185" s="71"/>
      <c r="FH185" s="71"/>
      <c r="FI185" s="71"/>
      <c r="FJ185" s="71"/>
      <c r="FK185" s="71"/>
      <c r="FL185" s="71"/>
      <c r="FM185" s="71"/>
      <c r="FN185" s="71"/>
      <c r="FO185" s="71"/>
      <c r="FP185" s="71"/>
      <c r="FQ185" s="71"/>
      <c r="FR185" s="71"/>
      <c r="FS185" s="71"/>
      <c r="FT185" s="71"/>
      <c r="FU185" s="71"/>
    </row>
    <row r="186" spans="2:177" s="1" customFormat="1">
      <c r="B186" s="2"/>
      <c r="C186" s="2"/>
      <c r="D186" s="2"/>
      <c r="E186" s="2"/>
      <c r="F186" s="2"/>
      <c r="G186" s="2"/>
      <c r="H186" s="2"/>
      <c r="I186" s="2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</row>
    <row r="187" spans="2:177" s="1" customFormat="1">
      <c r="B187" s="2"/>
      <c r="C187" s="2"/>
      <c r="D187" s="2"/>
      <c r="E187" s="2"/>
      <c r="F187" s="2"/>
      <c r="G187" s="2"/>
      <c r="H187" s="2"/>
      <c r="I187" s="2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</row>
    <row r="188" spans="2:177" s="1" customFormat="1">
      <c r="B188" s="2"/>
      <c r="C188" s="2"/>
      <c r="D188" s="2"/>
      <c r="E188" s="2"/>
      <c r="F188" s="2"/>
      <c r="G188" s="2"/>
      <c r="H188" s="2"/>
      <c r="I188" s="2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</row>
    <row r="189" spans="2:177" s="1" customFormat="1">
      <c r="B189" s="2"/>
      <c r="C189" s="2"/>
      <c r="D189" s="2"/>
      <c r="E189" s="2"/>
      <c r="F189" s="2"/>
      <c r="G189" s="2"/>
      <c r="H189" s="2"/>
      <c r="I189" s="2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</row>
    <row r="190" spans="2:177" s="1" customFormat="1">
      <c r="B190" s="2"/>
      <c r="C190" s="2"/>
      <c r="D190" s="2"/>
      <c r="E190" s="2"/>
      <c r="F190" s="2"/>
      <c r="G190" s="2"/>
      <c r="H190" s="2"/>
      <c r="I190" s="2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</row>
    <row r="191" spans="2:177" s="1" customFormat="1">
      <c r="B191" s="2"/>
      <c r="C191" s="2"/>
      <c r="D191" s="2"/>
      <c r="E191" s="2"/>
      <c r="F191" s="2"/>
      <c r="G191" s="2"/>
      <c r="H191" s="2"/>
      <c r="I191" s="2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</row>
    <row r="192" spans="2:177" s="1" customFormat="1">
      <c r="B192" s="2"/>
      <c r="C192" s="2"/>
      <c r="D192" s="2"/>
      <c r="E192" s="2"/>
      <c r="F192" s="2"/>
      <c r="G192" s="2"/>
      <c r="H192" s="2"/>
      <c r="I192" s="2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</row>
    <row r="193" spans="2:177" s="1" customFormat="1">
      <c r="B193" s="2"/>
      <c r="C193" s="2"/>
      <c r="D193" s="2"/>
      <c r="E193" s="2"/>
      <c r="F193" s="2"/>
      <c r="G193" s="2"/>
      <c r="H193" s="2"/>
      <c r="I193" s="2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</row>
    <row r="194" spans="2:177" s="1" customFormat="1"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</row>
    <row r="195" spans="2:177" s="1" customFormat="1"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</row>
    <row r="196" spans="2:177" s="1" customFormat="1"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</row>
    <row r="197" spans="2:177" s="1" customFormat="1"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</row>
    <row r="198" spans="2:177" s="1" customFormat="1"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</row>
    <row r="199" spans="2:177" s="1" customFormat="1"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/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5"/>
      <c r="FL199" s="65"/>
      <c r="FM199" s="65"/>
      <c r="FN199" s="65"/>
      <c r="FO199" s="65"/>
      <c r="FP199" s="65"/>
      <c r="FQ199" s="65"/>
      <c r="FR199" s="65"/>
      <c r="FS199" s="65"/>
      <c r="FT199" s="65"/>
      <c r="FU199" s="65"/>
    </row>
    <row r="200" spans="2:177" s="1" customFormat="1"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</row>
    <row r="201" spans="2:177" s="1" customFormat="1"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</row>
    <row r="202" spans="2:177" s="1" customFormat="1"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</row>
    <row r="203" spans="2:177" s="1" customFormat="1"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</row>
    <row r="204" spans="2:177" s="1" customFormat="1"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</row>
    <row r="205" spans="2:177" s="1" customFormat="1"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</row>
    <row r="206" spans="2:177" s="1" customFormat="1"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</row>
    <row r="207" spans="2:177" s="1" customFormat="1"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</row>
    <row r="208" spans="2:177" s="1" customFormat="1"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</row>
    <row r="209" spans="10:177" s="1" customFormat="1"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</row>
    <row r="210" spans="10:177" s="1" customFormat="1"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</row>
    <row r="211" spans="10:177" s="1" customFormat="1"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</row>
    <row r="212" spans="10:177" s="1" customFormat="1"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</row>
    <row r="213" spans="10:177" s="1" customFormat="1"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</row>
    <row r="214" spans="10:177" s="1" customFormat="1"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</row>
    <row r="215" spans="10:177" s="1" customFormat="1"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</row>
    <row r="216" spans="10:177" s="1" customFormat="1"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</row>
    <row r="217" spans="10:177" s="1" customFormat="1"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</row>
    <row r="218" spans="10:177" s="1" customFormat="1"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</row>
    <row r="219" spans="10:177" s="1" customFormat="1"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</row>
    <row r="220" spans="10:177" s="1" customFormat="1"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</row>
    <row r="221" spans="10:177" s="1" customFormat="1"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</row>
    <row r="222" spans="10:177" s="1" customFormat="1"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</row>
    <row r="223" spans="10:177" s="1" customFormat="1"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</row>
    <row r="224" spans="10:177" s="1" customFormat="1"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</row>
    <row r="225" spans="10:177" s="1" customFormat="1"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</row>
    <row r="226" spans="10:177" s="1" customFormat="1"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</row>
    <row r="227" spans="10:177" s="1" customFormat="1"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</row>
    <row r="228" spans="10:177" s="1" customFormat="1"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</row>
    <row r="229" spans="10:177" s="1" customFormat="1"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</row>
    <row r="230" spans="10:177" s="1" customFormat="1"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</row>
    <row r="231" spans="10:177" s="1" customFormat="1"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</row>
    <row r="232" spans="10:177" s="1" customFormat="1"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</row>
    <row r="233" spans="10:177" s="1" customFormat="1"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</row>
    <row r="234" spans="10:177" s="1" customFormat="1"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</row>
    <row r="235" spans="10:177" s="1" customFormat="1"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5"/>
      <c r="FL235" s="65"/>
      <c r="FM235" s="65"/>
      <c r="FN235" s="65"/>
      <c r="FO235" s="65"/>
      <c r="FP235" s="65"/>
      <c r="FQ235" s="65"/>
      <c r="FR235" s="65"/>
      <c r="FS235" s="65"/>
      <c r="FT235" s="65"/>
      <c r="FU235" s="65"/>
    </row>
    <row r="236" spans="10:177" s="1" customFormat="1"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</row>
    <row r="237" spans="10:177" s="1" customFormat="1"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/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5"/>
      <c r="FL237" s="65"/>
      <c r="FM237" s="65"/>
      <c r="FN237" s="65"/>
      <c r="FO237" s="65"/>
      <c r="FP237" s="65"/>
      <c r="FQ237" s="65"/>
      <c r="FR237" s="65"/>
      <c r="FS237" s="65"/>
      <c r="FT237" s="65"/>
      <c r="FU237" s="65"/>
    </row>
    <row r="238" spans="10:177" s="1" customFormat="1"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</row>
    <row r="239" spans="10:177" s="1" customFormat="1"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</row>
    <row r="240" spans="10:177" s="1" customFormat="1"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</row>
    <row r="241" spans="10:177" s="1" customFormat="1"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</row>
    <row r="242" spans="10:177" s="1" customFormat="1"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</row>
    <row r="243" spans="10:177" s="1" customFormat="1"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</row>
    <row r="244" spans="10:177" s="1" customFormat="1"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</row>
    <row r="245" spans="10:177" s="1" customFormat="1"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</row>
    <row r="246" spans="10:177" s="1" customFormat="1"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</row>
    <row r="247" spans="10:177" s="1" customFormat="1"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</row>
    <row r="248" spans="10:177" s="1" customFormat="1"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</row>
    <row r="249" spans="10:177" s="1" customFormat="1"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</row>
    <row r="250" spans="10:177" s="1" customFormat="1"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</row>
    <row r="251" spans="10:177" s="1" customFormat="1"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</row>
    <row r="252" spans="10:177" s="1" customFormat="1"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</row>
    <row r="253" spans="10:177" s="1" customFormat="1"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</row>
    <row r="254" spans="10:177" s="1" customFormat="1"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</row>
    <row r="255" spans="10:177" s="1" customFormat="1"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</row>
    <row r="256" spans="10:177" s="1" customFormat="1"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</row>
    <row r="257" spans="10:177" s="1" customFormat="1"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</row>
    <row r="258" spans="10:177" s="1" customFormat="1"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</row>
    <row r="259" spans="10:177" s="1" customFormat="1"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</row>
    <row r="260" spans="10:177" s="1" customFormat="1"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</row>
    <row r="261" spans="10:177" s="1" customFormat="1"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</row>
    <row r="262" spans="10:177" s="1" customFormat="1"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</row>
    <row r="263" spans="10:177" s="1" customFormat="1"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</row>
    <row r="264" spans="10:177" s="1" customFormat="1"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</row>
    <row r="265" spans="10:177" s="1" customFormat="1"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</row>
    <row r="266" spans="10:177" s="1" customFormat="1"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</row>
    <row r="267" spans="10:177" s="1" customFormat="1"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</row>
    <row r="268" spans="10:177" s="1" customFormat="1"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</row>
    <row r="269" spans="10:177" s="1" customFormat="1"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</row>
    <row r="270" spans="10:177" s="1" customFormat="1"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</row>
    <row r="271" spans="10:177" s="1" customFormat="1"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</row>
    <row r="272" spans="10:177" s="1" customFormat="1"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</row>
    <row r="273" spans="10:177" s="1" customFormat="1"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</row>
    <row r="274" spans="10:177" s="1" customFormat="1"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</row>
    <row r="275" spans="10:177" s="1" customFormat="1"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</row>
    <row r="276" spans="10:177" s="1" customFormat="1"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  <c r="EO276" s="65"/>
      <c r="EP276" s="65"/>
      <c r="EQ276" s="65"/>
      <c r="ER276" s="65"/>
      <c r="ES276" s="65"/>
      <c r="ET276" s="65"/>
      <c r="EU276" s="65"/>
      <c r="EV276" s="65"/>
      <c r="EW276" s="65"/>
      <c r="EX276" s="65"/>
      <c r="EY276" s="65"/>
      <c r="EZ276" s="65"/>
      <c r="FA276" s="65"/>
      <c r="FB276" s="65"/>
      <c r="FC276" s="65"/>
      <c r="FD276" s="65"/>
      <c r="FE276" s="65"/>
      <c r="FF276" s="65"/>
      <c r="FG276" s="65"/>
      <c r="FH276" s="65"/>
      <c r="FI276" s="65"/>
      <c r="FJ276" s="65"/>
      <c r="FK276" s="65"/>
      <c r="FL276" s="65"/>
      <c r="FM276" s="65"/>
      <c r="FN276" s="65"/>
      <c r="FO276" s="65"/>
      <c r="FP276" s="65"/>
      <c r="FQ276" s="65"/>
      <c r="FR276" s="65"/>
      <c r="FS276" s="65"/>
      <c r="FT276" s="65"/>
      <c r="FU276" s="65"/>
    </row>
    <row r="277" spans="10:177" s="1" customFormat="1"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  <c r="CJ277" s="65"/>
      <c r="CK277" s="65"/>
      <c r="CL277" s="65"/>
      <c r="CM277" s="65"/>
      <c r="CN277" s="65"/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  <c r="EO277" s="65"/>
      <c r="EP277" s="65"/>
      <c r="EQ277" s="65"/>
      <c r="ER277" s="65"/>
      <c r="ES277" s="65"/>
      <c r="ET277" s="65"/>
      <c r="EU277" s="65"/>
      <c r="EV277" s="65"/>
      <c r="EW277" s="65"/>
      <c r="EX277" s="65"/>
      <c r="EY277" s="65"/>
      <c r="EZ277" s="65"/>
      <c r="FA277" s="65"/>
      <c r="FB277" s="65"/>
      <c r="FC277" s="65"/>
      <c r="FD277" s="65"/>
      <c r="FE277" s="65"/>
      <c r="FF277" s="65"/>
      <c r="FG277" s="65"/>
      <c r="FH277" s="65"/>
      <c r="FI277" s="65"/>
      <c r="FJ277" s="65"/>
      <c r="FK277" s="65"/>
      <c r="FL277" s="65"/>
      <c r="FM277" s="65"/>
      <c r="FN277" s="65"/>
      <c r="FO277" s="65"/>
      <c r="FP277" s="65"/>
      <c r="FQ277" s="65"/>
      <c r="FR277" s="65"/>
      <c r="FS277" s="65"/>
      <c r="FT277" s="65"/>
      <c r="FU277" s="65"/>
    </row>
    <row r="278" spans="10:177" s="1" customFormat="1"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5"/>
      <c r="CH278" s="65"/>
      <c r="CI278" s="65"/>
      <c r="CJ278" s="65"/>
      <c r="CK278" s="65"/>
      <c r="CL278" s="65"/>
      <c r="CM278" s="65"/>
      <c r="CN278" s="65"/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  <c r="EO278" s="65"/>
      <c r="EP278" s="65"/>
      <c r="EQ278" s="65"/>
      <c r="ER278" s="65"/>
      <c r="ES278" s="65"/>
      <c r="ET278" s="65"/>
      <c r="EU278" s="65"/>
      <c r="EV278" s="65"/>
      <c r="EW278" s="65"/>
      <c r="EX278" s="65"/>
      <c r="EY278" s="65"/>
      <c r="EZ278" s="65"/>
      <c r="FA278" s="65"/>
      <c r="FB278" s="65"/>
      <c r="FC278" s="65"/>
      <c r="FD278" s="65"/>
      <c r="FE278" s="65"/>
      <c r="FF278" s="65"/>
      <c r="FG278" s="65"/>
      <c r="FH278" s="65"/>
      <c r="FI278" s="65"/>
      <c r="FJ278" s="65"/>
      <c r="FK278" s="65"/>
      <c r="FL278" s="65"/>
      <c r="FM278" s="65"/>
      <c r="FN278" s="65"/>
      <c r="FO278" s="65"/>
      <c r="FP278" s="65"/>
      <c r="FQ278" s="65"/>
      <c r="FR278" s="65"/>
      <c r="FS278" s="65"/>
      <c r="FT278" s="65"/>
      <c r="FU278" s="65"/>
    </row>
    <row r="279" spans="10:177" s="1" customFormat="1"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5"/>
      <c r="CH279" s="65"/>
      <c r="CI279" s="65"/>
      <c r="CJ279" s="65"/>
      <c r="CK279" s="65"/>
      <c r="CL279" s="65"/>
      <c r="CM279" s="65"/>
      <c r="CN279" s="65"/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  <c r="EO279" s="65"/>
      <c r="EP279" s="65"/>
      <c r="EQ279" s="65"/>
      <c r="ER279" s="65"/>
      <c r="ES279" s="65"/>
      <c r="ET279" s="65"/>
      <c r="EU279" s="65"/>
      <c r="EV279" s="65"/>
      <c r="EW279" s="65"/>
      <c r="EX279" s="65"/>
      <c r="EY279" s="65"/>
      <c r="EZ279" s="65"/>
      <c r="FA279" s="65"/>
      <c r="FB279" s="65"/>
      <c r="FC279" s="65"/>
      <c r="FD279" s="65"/>
      <c r="FE279" s="65"/>
      <c r="FF279" s="65"/>
      <c r="FG279" s="65"/>
      <c r="FH279" s="65"/>
      <c r="FI279" s="65"/>
      <c r="FJ279" s="65"/>
      <c r="FK279" s="65"/>
      <c r="FL279" s="65"/>
      <c r="FM279" s="65"/>
      <c r="FN279" s="65"/>
      <c r="FO279" s="65"/>
      <c r="FP279" s="65"/>
      <c r="FQ279" s="65"/>
      <c r="FR279" s="65"/>
      <c r="FS279" s="65"/>
      <c r="FT279" s="65"/>
      <c r="FU279" s="65"/>
    </row>
    <row r="280" spans="10:177" s="1" customFormat="1"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5"/>
      <c r="CH280" s="65"/>
      <c r="CI280" s="65"/>
      <c r="CJ280" s="65"/>
      <c r="CK280" s="65"/>
      <c r="CL280" s="65"/>
      <c r="CM280" s="65"/>
      <c r="CN280" s="65"/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  <c r="EO280" s="65"/>
      <c r="EP280" s="65"/>
      <c r="EQ280" s="65"/>
      <c r="ER280" s="65"/>
      <c r="ES280" s="65"/>
      <c r="ET280" s="65"/>
      <c r="EU280" s="65"/>
      <c r="EV280" s="65"/>
      <c r="EW280" s="65"/>
      <c r="EX280" s="65"/>
      <c r="EY280" s="65"/>
      <c r="EZ280" s="65"/>
      <c r="FA280" s="65"/>
      <c r="FB280" s="65"/>
      <c r="FC280" s="65"/>
      <c r="FD280" s="65"/>
      <c r="FE280" s="65"/>
      <c r="FF280" s="65"/>
      <c r="FG280" s="65"/>
      <c r="FH280" s="65"/>
      <c r="FI280" s="65"/>
      <c r="FJ280" s="65"/>
      <c r="FK280" s="65"/>
      <c r="FL280" s="65"/>
      <c r="FM280" s="65"/>
      <c r="FN280" s="65"/>
      <c r="FO280" s="65"/>
      <c r="FP280" s="65"/>
      <c r="FQ280" s="65"/>
      <c r="FR280" s="65"/>
      <c r="FS280" s="65"/>
      <c r="FT280" s="65"/>
      <c r="FU280" s="65"/>
    </row>
    <row r="281" spans="10:177" s="1" customFormat="1"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  <c r="BZ281" s="65"/>
      <c r="CA281" s="65"/>
      <c r="CB281" s="65"/>
      <c r="CC281" s="65"/>
      <c r="CD281" s="65"/>
      <c r="CE281" s="65"/>
      <c r="CF281" s="65"/>
      <c r="CG281" s="65"/>
      <c r="CH281" s="65"/>
      <c r="CI281" s="65"/>
      <c r="CJ281" s="65"/>
      <c r="CK281" s="65"/>
      <c r="CL281" s="65"/>
      <c r="CM281" s="65"/>
      <c r="CN281" s="65"/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  <c r="EO281" s="65"/>
      <c r="EP281" s="65"/>
      <c r="EQ281" s="65"/>
      <c r="ER281" s="65"/>
      <c r="ES281" s="65"/>
      <c r="ET281" s="65"/>
      <c r="EU281" s="65"/>
      <c r="EV281" s="65"/>
      <c r="EW281" s="65"/>
      <c r="EX281" s="65"/>
      <c r="EY281" s="65"/>
      <c r="EZ281" s="65"/>
      <c r="FA281" s="65"/>
      <c r="FB281" s="65"/>
      <c r="FC281" s="65"/>
      <c r="FD281" s="65"/>
      <c r="FE281" s="65"/>
      <c r="FF281" s="65"/>
      <c r="FG281" s="65"/>
      <c r="FH281" s="65"/>
      <c r="FI281" s="65"/>
      <c r="FJ281" s="65"/>
      <c r="FK281" s="65"/>
      <c r="FL281" s="65"/>
      <c r="FM281" s="65"/>
      <c r="FN281" s="65"/>
      <c r="FO281" s="65"/>
      <c r="FP281" s="65"/>
      <c r="FQ281" s="65"/>
      <c r="FR281" s="65"/>
      <c r="FS281" s="65"/>
      <c r="FT281" s="65"/>
      <c r="FU281" s="65"/>
    </row>
    <row r="282" spans="10:177" s="1" customFormat="1"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65"/>
      <c r="CH282" s="65"/>
      <c r="CI282" s="65"/>
      <c r="CJ282" s="65"/>
      <c r="CK282" s="65"/>
      <c r="CL282" s="65"/>
      <c r="CM282" s="65"/>
      <c r="CN282" s="65"/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  <c r="EO282" s="65"/>
      <c r="EP282" s="65"/>
      <c r="EQ282" s="65"/>
      <c r="ER282" s="65"/>
      <c r="ES282" s="65"/>
      <c r="ET282" s="65"/>
      <c r="EU282" s="65"/>
      <c r="EV282" s="65"/>
      <c r="EW282" s="65"/>
      <c r="EX282" s="65"/>
      <c r="EY282" s="65"/>
      <c r="EZ282" s="65"/>
      <c r="FA282" s="65"/>
      <c r="FB282" s="65"/>
      <c r="FC282" s="65"/>
      <c r="FD282" s="65"/>
      <c r="FE282" s="65"/>
      <c r="FF282" s="65"/>
      <c r="FG282" s="65"/>
      <c r="FH282" s="65"/>
      <c r="FI282" s="65"/>
      <c r="FJ282" s="65"/>
      <c r="FK282" s="65"/>
      <c r="FL282" s="65"/>
      <c r="FM282" s="65"/>
      <c r="FN282" s="65"/>
      <c r="FO282" s="65"/>
      <c r="FP282" s="65"/>
      <c r="FQ282" s="65"/>
      <c r="FR282" s="65"/>
      <c r="FS282" s="65"/>
      <c r="FT282" s="65"/>
      <c r="FU282" s="65"/>
    </row>
    <row r="283" spans="10:177" s="1" customFormat="1"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</row>
    <row r="284" spans="10:177" s="1" customFormat="1"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  <c r="CG284" s="65"/>
      <c r="CH284" s="65"/>
      <c r="CI284" s="65"/>
      <c r="CJ284" s="65"/>
      <c r="CK284" s="65"/>
      <c r="CL284" s="65"/>
      <c r="CM284" s="65"/>
      <c r="CN284" s="65"/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  <c r="EO284" s="65"/>
      <c r="EP284" s="65"/>
      <c r="EQ284" s="65"/>
      <c r="ER284" s="65"/>
      <c r="ES284" s="65"/>
      <c r="ET284" s="65"/>
      <c r="EU284" s="65"/>
      <c r="EV284" s="65"/>
      <c r="EW284" s="65"/>
      <c r="EX284" s="65"/>
      <c r="EY284" s="65"/>
      <c r="EZ284" s="65"/>
      <c r="FA284" s="65"/>
      <c r="FB284" s="65"/>
      <c r="FC284" s="65"/>
      <c r="FD284" s="65"/>
      <c r="FE284" s="65"/>
      <c r="FF284" s="65"/>
      <c r="FG284" s="65"/>
      <c r="FH284" s="65"/>
      <c r="FI284" s="65"/>
      <c r="FJ284" s="65"/>
      <c r="FK284" s="65"/>
      <c r="FL284" s="65"/>
      <c r="FM284" s="65"/>
      <c r="FN284" s="65"/>
      <c r="FO284" s="65"/>
      <c r="FP284" s="65"/>
      <c r="FQ284" s="65"/>
      <c r="FR284" s="65"/>
      <c r="FS284" s="65"/>
      <c r="FT284" s="65"/>
      <c r="FU284" s="65"/>
    </row>
    <row r="285" spans="10:177" s="1" customFormat="1"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  <c r="BZ285" s="65"/>
      <c r="CA285" s="65"/>
      <c r="CB285" s="65"/>
      <c r="CC285" s="65"/>
      <c r="CD285" s="65"/>
      <c r="CE285" s="65"/>
      <c r="CF285" s="65"/>
      <c r="CG285" s="65"/>
      <c r="CH285" s="65"/>
      <c r="CI285" s="65"/>
      <c r="CJ285" s="65"/>
      <c r="CK285" s="65"/>
      <c r="CL285" s="65"/>
      <c r="CM285" s="65"/>
      <c r="CN285" s="65"/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  <c r="EO285" s="65"/>
      <c r="EP285" s="65"/>
      <c r="EQ285" s="65"/>
      <c r="ER285" s="65"/>
      <c r="ES285" s="65"/>
      <c r="ET285" s="65"/>
      <c r="EU285" s="65"/>
      <c r="EV285" s="65"/>
      <c r="EW285" s="65"/>
      <c r="EX285" s="65"/>
      <c r="EY285" s="65"/>
      <c r="EZ285" s="65"/>
      <c r="FA285" s="65"/>
      <c r="FB285" s="65"/>
      <c r="FC285" s="65"/>
      <c r="FD285" s="65"/>
      <c r="FE285" s="65"/>
      <c r="FF285" s="65"/>
      <c r="FG285" s="65"/>
      <c r="FH285" s="65"/>
      <c r="FI285" s="65"/>
      <c r="FJ285" s="65"/>
      <c r="FK285" s="65"/>
      <c r="FL285" s="65"/>
      <c r="FM285" s="65"/>
      <c r="FN285" s="65"/>
      <c r="FO285" s="65"/>
      <c r="FP285" s="65"/>
      <c r="FQ285" s="65"/>
      <c r="FR285" s="65"/>
      <c r="FS285" s="65"/>
      <c r="FT285" s="65"/>
      <c r="FU285" s="65"/>
    </row>
    <row r="286" spans="10:177" s="1" customFormat="1"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65"/>
      <c r="CH286" s="65"/>
      <c r="CI286" s="65"/>
      <c r="CJ286" s="65"/>
      <c r="CK286" s="65"/>
      <c r="CL286" s="65"/>
      <c r="CM286" s="65"/>
      <c r="CN286" s="65"/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  <c r="EO286" s="65"/>
      <c r="EP286" s="65"/>
      <c r="EQ286" s="65"/>
      <c r="ER286" s="65"/>
      <c r="ES286" s="65"/>
      <c r="ET286" s="65"/>
      <c r="EU286" s="65"/>
      <c r="EV286" s="65"/>
      <c r="EW286" s="65"/>
      <c r="EX286" s="65"/>
      <c r="EY286" s="65"/>
      <c r="EZ286" s="65"/>
      <c r="FA286" s="65"/>
      <c r="FB286" s="65"/>
      <c r="FC286" s="65"/>
      <c r="FD286" s="65"/>
      <c r="FE286" s="65"/>
      <c r="FF286" s="65"/>
      <c r="FG286" s="65"/>
      <c r="FH286" s="65"/>
      <c r="FI286" s="65"/>
      <c r="FJ286" s="65"/>
      <c r="FK286" s="65"/>
      <c r="FL286" s="65"/>
      <c r="FM286" s="65"/>
      <c r="FN286" s="65"/>
      <c r="FO286" s="65"/>
      <c r="FP286" s="65"/>
      <c r="FQ286" s="65"/>
      <c r="FR286" s="65"/>
      <c r="FS286" s="65"/>
      <c r="FT286" s="65"/>
      <c r="FU286" s="65"/>
    </row>
    <row r="287" spans="10:177" s="1" customFormat="1"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  <c r="CN287" s="65"/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  <c r="EO287" s="65"/>
      <c r="EP287" s="65"/>
      <c r="EQ287" s="65"/>
      <c r="ER287" s="65"/>
      <c r="ES287" s="65"/>
      <c r="ET287" s="65"/>
      <c r="EU287" s="65"/>
      <c r="EV287" s="65"/>
      <c r="EW287" s="65"/>
      <c r="EX287" s="65"/>
      <c r="EY287" s="65"/>
      <c r="EZ287" s="65"/>
      <c r="FA287" s="65"/>
      <c r="FB287" s="65"/>
      <c r="FC287" s="65"/>
      <c r="FD287" s="65"/>
      <c r="FE287" s="65"/>
      <c r="FF287" s="65"/>
      <c r="FG287" s="65"/>
      <c r="FH287" s="65"/>
      <c r="FI287" s="65"/>
      <c r="FJ287" s="65"/>
      <c r="FK287" s="65"/>
      <c r="FL287" s="65"/>
      <c r="FM287" s="65"/>
      <c r="FN287" s="65"/>
      <c r="FO287" s="65"/>
      <c r="FP287" s="65"/>
      <c r="FQ287" s="65"/>
      <c r="FR287" s="65"/>
      <c r="FS287" s="65"/>
      <c r="FT287" s="65"/>
      <c r="FU287" s="65"/>
    </row>
    <row r="288" spans="10:177" s="1" customFormat="1"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  <c r="EO288" s="65"/>
      <c r="EP288" s="65"/>
      <c r="EQ288" s="65"/>
      <c r="ER288" s="65"/>
      <c r="ES288" s="65"/>
      <c r="ET288" s="65"/>
      <c r="EU288" s="65"/>
      <c r="EV288" s="65"/>
      <c r="EW288" s="65"/>
      <c r="EX288" s="65"/>
      <c r="EY288" s="65"/>
      <c r="EZ288" s="65"/>
      <c r="FA288" s="65"/>
      <c r="FB288" s="65"/>
      <c r="FC288" s="65"/>
      <c r="FD288" s="65"/>
      <c r="FE288" s="65"/>
      <c r="FF288" s="65"/>
      <c r="FG288" s="65"/>
      <c r="FH288" s="65"/>
      <c r="FI288" s="65"/>
      <c r="FJ288" s="65"/>
      <c r="FK288" s="65"/>
      <c r="FL288" s="65"/>
      <c r="FM288" s="65"/>
      <c r="FN288" s="65"/>
      <c r="FO288" s="65"/>
      <c r="FP288" s="65"/>
      <c r="FQ288" s="65"/>
      <c r="FR288" s="65"/>
      <c r="FS288" s="65"/>
      <c r="FT288" s="65"/>
      <c r="FU288" s="65"/>
    </row>
    <row r="289" spans="10:177" s="1" customFormat="1"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  <c r="BZ289" s="65"/>
      <c r="CA289" s="65"/>
      <c r="CB289" s="65"/>
      <c r="CC289" s="65"/>
      <c r="CD289" s="65"/>
      <c r="CE289" s="65"/>
      <c r="CF289" s="65"/>
      <c r="CG289" s="65"/>
      <c r="CH289" s="65"/>
      <c r="CI289" s="65"/>
      <c r="CJ289" s="65"/>
      <c r="CK289" s="65"/>
      <c r="CL289" s="65"/>
      <c r="CM289" s="65"/>
      <c r="CN289" s="65"/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  <c r="EO289" s="65"/>
      <c r="EP289" s="65"/>
      <c r="EQ289" s="65"/>
      <c r="ER289" s="65"/>
      <c r="ES289" s="65"/>
      <c r="ET289" s="65"/>
      <c r="EU289" s="65"/>
      <c r="EV289" s="65"/>
      <c r="EW289" s="65"/>
      <c r="EX289" s="65"/>
      <c r="EY289" s="65"/>
      <c r="EZ289" s="65"/>
      <c r="FA289" s="65"/>
      <c r="FB289" s="65"/>
      <c r="FC289" s="65"/>
      <c r="FD289" s="65"/>
      <c r="FE289" s="65"/>
      <c r="FF289" s="65"/>
      <c r="FG289" s="65"/>
      <c r="FH289" s="65"/>
      <c r="FI289" s="65"/>
      <c r="FJ289" s="65"/>
      <c r="FK289" s="65"/>
      <c r="FL289" s="65"/>
      <c r="FM289" s="65"/>
      <c r="FN289" s="65"/>
      <c r="FO289" s="65"/>
      <c r="FP289" s="65"/>
      <c r="FQ289" s="65"/>
      <c r="FR289" s="65"/>
      <c r="FS289" s="65"/>
      <c r="FT289" s="65"/>
      <c r="FU289" s="65"/>
    </row>
    <row r="290" spans="10:177" s="1" customFormat="1"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  <c r="CG290" s="65"/>
      <c r="CH290" s="65"/>
      <c r="CI290" s="65"/>
      <c r="CJ290" s="65"/>
      <c r="CK290" s="65"/>
      <c r="CL290" s="65"/>
      <c r="CM290" s="65"/>
      <c r="CN290" s="65"/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  <c r="EO290" s="65"/>
      <c r="EP290" s="65"/>
      <c r="EQ290" s="65"/>
      <c r="ER290" s="65"/>
      <c r="ES290" s="65"/>
      <c r="ET290" s="65"/>
      <c r="EU290" s="65"/>
      <c r="EV290" s="65"/>
      <c r="EW290" s="65"/>
      <c r="EX290" s="65"/>
      <c r="EY290" s="65"/>
      <c r="EZ290" s="65"/>
      <c r="FA290" s="65"/>
      <c r="FB290" s="65"/>
      <c r="FC290" s="65"/>
      <c r="FD290" s="65"/>
      <c r="FE290" s="65"/>
      <c r="FF290" s="65"/>
      <c r="FG290" s="65"/>
      <c r="FH290" s="65"/>
      <c r="FI290" s="65"/>
      <c r="FJ290" s="65"/>
      <c r="FK290" s="65"/>
      <c r="FL290" s="65"/>
      <c r="FM290" s="65"/>
      <c r="FN290" s="65"/>
      <c r="FO290" s="65"/>
      <c r="FP290" s="65"/>
      <c r="FQ290" s="65"/>
      <c r="FR290" s="65"/>
      <c r="FS290" s="65"/>
      <c r="FT290" s="65"/>
      <c r="FU290" s="65"/>
    </row>
    <row r="291" spans="10:177" s="1" customFormat="1"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  <c r="BZ291" s="65"/>
      <c r="CA291" s="65"/>
      <c r="CB291" s="65"/>
      <c r="CC291" s="65"/>
      <c r="CD291" s="65"/>
      <c r="CE291" s="65"/>
      <c r="CF291" s="65"/>
      <c r="CG291" s="65"/>
      <c r="CH291" s="65"/>
      <c r="CI291" s="65"/>
      <c r="CJ291" s="65"/>
      <c r="CK291" s="65"/>
      <c r="CL291" s="65"/>
      <c r="CM291" s="65"/>
      <c r="CN291" s="65"/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  <c r="EO291" s="65"/>
      <c r="EP291" s="65"/>
      <c r="EQ291" s="65"/>
      <c r="ER291" s="65"/>
      <c r="ES291" s="65"/>
      <c r="ET291" s="65"/>
      <c r="EU291" s="65"/>
      <c r="EV291" s="65"/>
      <c r="EW291" s="65"/>
      <c r="EX291" s="65"/>
      <c r="EY291" s="65"/>
      <c r="EZ291" s="65"/>
      <c r="FA291" s="65"/>
      <c r="FB291" s="65"/>
      <c r="FC291" s="65"/>
      <c r="FD291" s="65"/>
      <c r="FE291" s="65"/>
      <c r="FF291" s="65"/>
      <c r="FG291" s="65"/>
      <c r="FH291" s="65"/>
      <c r="FI291" s="65"/>
      <c r="FJ291" s="65"/>
      <c r="FK291" s="65"/>
      <c r="FL291" s="65"/>
      <c r="FM291" s="65"/>
      <c r="FN291" s="65"/>
      <c r="FO291" s="65"/>
      <c r="FP291" s="65"/>
      <c r="FQ291" s="65"/>
      <c r="FR291" s="65"/>
      <c r="FS291" s="65"/>
      <c r="FT291" s="65"/>
      <c r="FU291" s="65"/>
    </row>
    <row r="292" spans="10:177" s="1" customFormat="1"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</row>
    <row r="293" spans="10:177" s="1" customFormat="1"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5"/>
      <c r="FM293" s="65"/>
      <c r="FN293" s="65"/>
      <c r="FO293" s="65"/>
      <c r="FP293" s="65"/>
      <c r="FQ293" s="65"/>
      <c r="FR293" s="65"/>
      <c r="FS293" s="65"/>
      <c r="FT293" s="65"/>
      <c r="FU293" s="65"/>
    </row>
    <row r="294" spans="10:177" s="1" customFormat="1"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  <c r="EO294" s="65"/>
      <c r="EP294" s="65"/>
      <c r="EQ294" s="65"/>
      <c r="ER294" s="65"/>
      <c r="ES294" s="65"/>
      <c r="ET294" s="65"/>
      <c r="EU294" s="65"/>
      <c r="EV294" s="65"/>
      <c r="EW294" s="65"/>
      <c r="EX294" s="65"/>
      <c r="EY294" s="65"/>
      <c r="EZ294" s="65"/>
      <c r="FA294" s="65"/>
      <c r="FB294" s="65"/>
      <c r="FC294" s="65"/>
      <c r="FD294" s="65"/>
      <c r="FE294" s="65"/>
      <c r="FF294" s="65"/>
      <c r="FG294" s="65"/>
      <c r="FH294" s="65"/>
      <c r="FI294" s="65"/>
      <c r="FJ294" s="65"/>
      <c r="FK294" s="65"/>
      <c r="FL294" s="65"/>
      <c r="FM294" s="65"/>
      <c r="FN294" s="65"/>
      <c r="FO294" s="65"/>
      <c r="FP294" s="65"/>
      <c r="FQ294" s="65"/>
      <c r="FR294" s="65"/>
      <c r="FS294" s="65"/>
      <c r="FT294" s="65"/>
      <c r="FU294" s="65"/>
    </row>
    <row r="295" spans="10:177" s="1" customFormat="1"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</row>
    <row r="296" spans="10:177" s="1" customFormat="1"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65"/>
      <c r="CI296" s="65"/>
      <c r="CJ296" s="65"/>
      <c r="CK296" s="65"/>
      <c r="CL296" s="65"/>
      <c r="CM296" s="65"/>
      <c r="CN296" s="65"/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  <c r="EO296" s="65"/>
      <c r="EP296" s="65"/>
      <c r="EQ296" s="65"/>
      <c r="ER296" s="65"/>
      <c r="ES296" s="65"/>
      <c r="ET296" s="65"/>
      <c r="EU296" s="65"/>
      <c r="EV296" s="65"/>
      <c r="EW296" s="65"/>
      <c r="EX296" s="65"/>
      <c r="EY296" s="65"/>
      <c r="EZ296" s="65"/>
      <c r="FA296" s="65"/>
      <c r="FB296" s="65"/>
      <c r="FC296" s="65"/>
      <c r="FD296" s="65"/>
      <c r="FE296" s="65"/>
      <c r="FF296" s="65"/>
      <c r="FG296" s="65"/>
      <c r="FH296" s="65"/>
      <c r="FI296" s="65"/>
      <c r="FJ296" s="65"/>
      <c r="FK296" s="65"/>
      <c r="FL296" s="65"/>
      <c r="FM296" s="65"/>
      <c r="FN296" s="65"/>
      <c r="FO296" s="65"/>
      <c r="FP296" s="65"/>
      <c r="FQ296" s="65"/>
      <c r="FR296" s="65"/>
      <c r="FS296" s="65"/>
      <c r="FT296" s="65"/>
      <c r="FU296" s="65"/>
    </row>
    <row r="297" spans="10:177" s="1" customFormat="1"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</row>
    <row r="298" spans="10:177" s="1" customFormat="1"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  <c r="EO298" s="65"/>
      <c r="EP298" s="65"/>
      <c r="EQ298" s="65"/>
      <c r="ER298" s="65"/>
      <c r="ES298" s="65"/>
      <c r="ET298" s="65"/>
      <c r="EU298" s="65"/>
      <c r="EV298" s="65"/>
      <c r="EW298" s="65"/>
      <c r="EX298" s="65"/>
      <c r="EY298" s="65"/>
      <c r="EZ298" s="65"/>
      <c r="FA298" s="65"/>
      <c r="FB298" s="65"/>
      <c r="FC298" s="65"/>
      <c r="FD298" s="65"/>
      <c r="FE298" s="65"/>
      <c r="FF298" s="65"/>
      <c r="FG298" s="65"/>
      <c r="FH298" s="65"/>
      <c r="FI298" s="65"/>
      <c r="FJ298" s="65"/>
      <c r="FK298" s="65"/>
      <c r="FL298" s="65"/>
      <c r="FM298" s="65"/>
      <c r="FN298" s="65"/>
      <c r="FO298" s="65"/>
      <c r="FP298" s="65"/>
      <c r="FQ298" s="65"/>
      <c r="FR298" s="65"/>
      <c r="FS298" s="65"/>
      <c r="FT298" s="65"/>
      <c r="FU298" s="65"/>
    </row>
    <row r="299" spans="10:177" s="1" customFormat="1"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</row>
  </sheetData>
  <mergeCells count="6">
    <mergeCell ref="A1:I1"/>
    <mergeCell ref="A2:I2"/>
    <mergeCell ref="A3:I3"/>
    <mergeCell ref="A109:I109"/>
    <mergeCell ref="A108:I108"/>
    <mergeCell ref="A107:I107"/>
  </mergeCells>
  <phoneticPr fontId="25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0" orientation="landscape" horizontalDpi="300" verticalDpi="300" r:id="rId1"/>
  <headerFooter alignWithMargins="0"/>
  <rowBreaks count="2" manualBreakCount="2">
    <brk id="105" max="38" man="1"/>
    <brk id="109" max="16383" man="1"/>
  </rowBreaks>
  <colBreaks count="1" manualBreakCount="1">
    <brk id="3" max="15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23" sqref="F23"/>
    </sheetView>
  </sheetViews>
  <sheetFormatPr defaultRowHeight="12.75"/>
  <cols>
    <col min="1" max="1" width="50.140625" customWidth="1"/>
    <col min="2" max="2" width="15.42578125" customWidth="1"/>
    <col min="3" max="3" width="16.5703125" customWidth="1"/>
    <col min="4" max="4" width="17.85546875" customWidth="1"/>
    <col min="5" max="5" width="16.28515625" customWidth="1"/>
    <col min="6" max="6" width="15.28515625" customWidth="1"/>
  </cols>
  <sheetData>
    <row r="1" spans="1:6">
      <c r="A1" s="556" t="str">
        <f>Parâmetros!A7</f>
        <v>Município de : PORTÃO/RS</v>
      </c>
      <c r="B1" s="556"/>
      <c r="C1" s="556"/>
      <c r="D1" s="557"/>
      <c r="E1" s="557"/>
      <c r="F1" s="557"/>
    </row>
    <row r="2" spans="1:6">
      <c r="A2" s="558" t="str">
        <f>Parâmetros!A8</f>
        <v>LEI DE DIRETRIZES ORÇAMENTÁRIAS  PARA 2019</v>
      </c>
      <c r="B2" s="558"/>
      <c r="C2" s="558"/>
      <c r="D2" s="557"/>
      <c r="E2" s="557"/>
      <c r="F2" s="557"/>
    </row>
    <row r="3" spans="1:6">
      <c r="A3" s="559" t="s">
        <v>397</v>
      </c>
      <c r="B3" s="559"/>
      <c r="C3" s="559"/>
      <c r="D3" s="559"/>
      <c r="E3" s="559"/>
      <c r="F3" s="559"/>
    </row>
    <row r="4" spans="1:6">
      <c r="A4" s="560" t="s">
        <v>596</v>
      </c>
      <c r="B4" s="561"/>
      <c r="C4" s="561"/>
      <c r="D4" s="561"/>
      <c r="E4" s="561"/>
      <c r="F4" s="561"/>
    </row>
    <row r="5" spans="1:6">
      <c r="A5" s="299" t="s">
        <v>56</v>
      </c>
      <c r="B5" s="300">
        <v>2017</v>
      </c>
      <c r="C5" s="300">
        <f>B5+1</f>
        <v>2018</v>
      </c>
      <c r="D5" s="300">
        <f>C5+1</f>
        <v>2019</v>
      </c>
      <c r="E5" s="300">
        <f>D5+1</f>
        <v>2020</v>
      </c>
      <c r="F5" s="300">
        <f>E5+1</f>
        <v>2021</v>
      </c>
    </row>
    <row r="6" spans="1:6">
      <c r="A6" s="301" t="s">
        <v>398</v>
      </c>
      <c r="B6" s="302">
        <f>Projeções!E8</f>
        <v>92745686.410000011</v>
      </c>
      <c r="C6" s="302">
        <f>Projeções!F8</f>
        <v>92543650</v>
      </c>
      <c r="D6" s="302">
        <f>Projeções!G8</f>
        <v>93769023.681788176</v>
      </c>
      <c r="E6" s="302">
        <f>Projeções!H8</f>
        <v>96698865.895300314</v>
      </c>
      <c r="F6" s="302">
        <f>Projeções!I8</f>
        <v>100692757.20075823</v>
      </c>
    </row>
    <row r="7" spans="1:6">
      <c r="A7" s="303" t="s">
        <v>391</v>
      </c>
      <c r="B7" s="304">
        <f>B8+B9+B10+B11+B12</f>
        <v>24230540.5</v>
      </c>
      <c r="C7" s="304">
        <f>C8+C9+C10+C11+C12</f>
        <v>20464850</v>
      </c>
      <c r="D7" s="304">
        <f>D8+D9+D10+D11+D12</f>
        <v>21108865.507615045</v>
      </c>
      <c r="E7" s="304">
        <f>E8+E9+E10+E11+E12</f>
        <v>22141661.030860521</v>
      </c>
      <c r="F7" s="304">
        <f>F8+F9+F10+F11+F12</f>
        <v>23394158.050118845</v>
      </c>
    </row>
    <row r="8" spans="1:6">
      <c r="A8" s="305" t="s">
        <v>392</v>
      </c>
      <c r="B8" s="306">
        <f>Projeções!E10+Projeções!E11</f>
        <v>2166209.54</v>
      </c>
      <c r="C8" s="306">
        <f>Projeções!F10+Projeções!F11</f>
        <v>2542650</v>
      </c>
      <c r="D8" s="306">
        <f>Projeções!G10+Projeções!G11</f>
        <v>2518043.9474872998</v>
      </c>
      <c r="E8" s="306">
        <f>Projeções!H10+Projeções!H11</f>
        <v>2688478.5133318976</v>
      </c>
      <c r="F8" s="306">
        <f>Projeções!I10+Projeções!I11</f>
        <v>2894826.2055142424</v>
      </c>
    </row>
    <row r="9" spans="1:6">
      <c r="A9" s="307" t="s">
        <v>393</v>
      </c>
      <c r="B9" s="308">
        <f>Projeções!E17</f>
        <v>2603667.33</v>
      </c>
      <c r="C9" s="308">
        <f>Projeções!F17</f>
        <v>2701000</v>
      </c>
      <c r="D9" s="308">
        <f>Projeções!G17</f>
        <v>3085404.3595971819</v>
      </c>
      <c r="E9" s="308">
        <f>Projeções!H17</f>
        <v>3302115.8023237442</v>
      </c>
      <c r="F9" s="308">
        <f>Projeções!I17</f>
        <v>3572350.8255183292</v>
      </c>
    </row>
    <row r="10" spans="1:6">
      <c r="A10" s="309" t="s">
        <v>394</v>
      </c>
      <c r="B10" s="308">
        <f>Projeções!E72</f>
        <v>0</v>
      </c>
      <c r="C10" s="308">
        <f>Projeções!F72</f>
        <v>0</v>
      </c>
      <c r="D10" s="308">
        <f>Projeções!G72</f>
        <v>0</v>
      </c>
      <c r="E10" s="308">
        <f>Projeções!H72</f>
        <v>0</v>
      </c>
      <c r="F10" s="308">
        <f>Projeções!I72</f>
        <v>0</v>
      </c>
    </row>
    <row r="11" spans="1:6">
      <c r="A11" s="309" t="s">
        <v>407</v>
      </c>
      <c r="B11" s="308">
        <f>Projeções!E28</f>
        <v>11087842.25</v>
      </c>
      <c r="C11" s="308">
        <f>Projeções!F28</f>
        <v>7000000</v>
      </c>
      <c r="D11" s="308">
        <f>Projeções!G28</f>
        <v>7000000</v>
      </c>
      <c r="E11" s="308">
        <f>Projeções!H28</f>
        <v>7476541.5199999996</v>
      </c>
      <c r="F11" s="308">
        <f>Projeções!I28</f>
        <v>7976274.7514434429</v>
      </c>
    </row>
    <row r="12" spans="1:6">
      <c r="A12" s="307" t="s">
        <v>404</v>
      </c>
      <c r="B12" s="308">
        <f>-(Projeções!E100+Projeções!E101+Projeções!E102)</f>
        <v>8372821.3799999999</v>
      </c>
      <c r="C12" s="308">
        <f>-(Projeções!F100+Projeções!F101+Projeções!F102)</f>
        <v>8221200</v>
      </c>
      <c r="D12" s="308">
        <f>-(Projeções!G100+Projeções!G101+Projeções!G102)</f>
        <v>8505417.2005305625</v>
      </c>
      <c r="E12" s="308">
        <f>-(Projeções!H100+Projeções!H101+Projeções!H102)</f>
        <v>8674525.1952048782</v>
      </c>
      <c r="F12" s="308">
        <f>-(Projeções!I100+Projeções!I101+Projeções!I102)</f>
        <v>8950706.2676428296</v>
      </c>
    </row>
    <row r="13" spans="1:6">
      <c r="A13" s="303" t="s">
        <v>395</v>
      </c>
      <c r="B13" s="304">
        <f>-(IF(Projeções!E63+Projeções!E101&gt;0,0,Projeções!E63+Projeções!E101))</f>
        <v>0</v>
      </c>
      <c r="C13" s="304">
        <f>-(IF(Projeções!F63+Projeções!F101&gt;0,0,Projeções!F63+Projeções!F101))</f>
        <v>0</v>
      </c>
      <c r="D13" s="304">
        <f>-(IF(Projeções!G63+Projeções!G101&gt;0,0,Projeções!G63+Projeções!G101))</f>
        <v>0</v>
      </c>
      <c r="E13" s="304">
        <f>-(IF(Projeções!H63+Projeções!H101&gt;0,0,Projeções!H63+Projeções!H101))</f>
        <v>0</v>
      </c>
      <c r="F13" s="304">
        <f>-(IF(Projeções!I63+Projeções!I101&gt;0,0,Projeções!I63+Projeções!I101))</f>
        <v>0</v>
      </c>
    </row>
    <row r="14" spans="1:6">
      <c r="A14" s="301" t="s">
        <v>396</v>
      </c>
      <c r="B14" s="302">
        <f>B6-B7+B13</f>
        <v>68515145.910000011</v>
      </c>
      <c r="C14" s="302">
        <f>C6-C7+C13</f>
        <v>72078800</v>
      </c>
      <c r="D14" s="302">
        <f>D6-D7+D13</f>
        <v>72660158.174173132</v>
      </c>
      <c r="E14" s="302">
        <f>E6-E7+E13</f>
        <v>74557204.864439785</v>
      </c>
      <c r="F14" s="302">
        <f>F6-F7+F13</f>
        <v>77298599.150639385</v>
      </c>
    </row>
    <row r="16" spans="1:6">
      <c r="A16" s="75"/>
    </row>
    <row r="19" spans="2:2">
      <c r="B19" s="78"/>
    </row>
  </sheetData>
  <mergeCells count="4">
    <mergeCell ref="A1:F1"/>
    <mergeCell ref="A2:F2"/>
    <mergeCell ref="A3:F3"/>
    <mergeCell ref="A4:F4"/>
  </mergeCells>
  <phoneticPr fontId="0" type="noConversion"/>
  <pageMargins left="0.51181102362204722" right="0.51181102362204722" top="0.78740157480314965" bottom="0.78740157480314965" header="0.31496062992125984" footer="0.31496062992125984"/>
  <pageSetup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2"/>
  <sheetViews>
    <sheetView zoomScaleSheetLayoutView="100" workbookViewId="0">
      <selection activeCell="E24" sqref="E24"/>
    </sheetView>
  </sheetViews>
  <sheetFormatPr defaultRowHeight="12.75"/>
  <cols>
    <col min="1" max="1" width="71.28515625" customWidth="1"/>
    <col min="2" max="2" width="19.140625" customWidth="1"/>
    <col min="3" max="3" width="17.7109375" customWidth="1"/>
    <col min="4" max="4" width="19.7109375" customWidth="1"/>
  </cols>
  <sheetData>
    <row r="1" spans="1:4">
      <c r="A1" s="566" t="str">
        <f>Parâmetros!A7</f>
        <v>Município de : PORTÃO/RS</v>
      </c>
      <c r="B1" s="567"/>
      <c r="C1" s="567"/>
      <c r="D1" s="567"/>
    </row>
    <row r="2" spans="1:4">
      <c r="A2" s="568" t="s">
        <v>597</v>
      </c>
      <c r="B2" s="568"/>
      <c r="C2" s="568"/>
      <c r="D2" s="568"/>
    </row>
    <row r="3" spans="1:4">
      <c r="A3" s="569" t="s">
        <v>473</v>
      </c>
      <c r="B3" s="570"/>
      <c r="C3" s="570"/>
      <c r="D3" s="570"/>
    </row>
    <row r="4" spans="1:4" ht="14.25">
      <c r="A4" s="311"/>
      <c r="B4" s="310"/>
      <c r="C4" s="310"/>
      <c r="D4" s="453"/>
    </row>
    <row r="5" spans="1:4">
      <c r="A5" s="562" t="s">
        <v>477</v>
      </c>
      <c r="B5" s="564"/>
      <c r="C5" s="564"/>
      <c r="D5" s="564"/>
    </row>
    <row r="6" spans="1:4">
      <c r="A6" s="563"/>
      <c r="B6" s="312">
        <f>Parâmetros!E10</f>
        <v>2019</v>
      </c>
      <c r="C6" s="312">
        <f>Parâmetros!F10</f>
        <v>2020</v>
      </c>
      <c r="D6" s="312">
        <f>Parâmetros!G10</f>
        <v>2021</v>
      </c>
    </row>
    <row r="7" spans="1:4">
      <c r="A7" s="313" t="s">
        <v>474</v>
      </c>
      <c r="B7" s="314">
        <f>RCL!D14*0.54</f>
        <v>39236485.414053492</v>
      </c>
      <c r="C7" s="314">
        <f>RCL!E14*0.54</f>
        <v>40260890.62679749</v>
      </c>
      <c r="D7" s="454">
        <f>RCL!F14*0.54</f>
        <v>41741243.541345268</v>
      </c>
    </row>
    <row r="8" spans="1:4">
      <c r="A8" s="315" t="s">
        <v>475</v>
      </c>
      <c r="B8" s="314">
        <f>RCL!D14*0.513</f>
        <v>37274661.143350817</v>
      </c>
      <c r="C8" s="314">
        <f>RCL!E14*0.513</f>
        <v>38247846.095457613</v>
      </c>
      <c r="D8" s="455">
        <f>RCL!F14*0.513</f>
        <v>39654181.364278004</v>
      </c>
    </row>
    <row r="9" spans="1:4">
      <c r="A9" s="313" t="s">
        <v>476</v>
      </c>
      <c r="B9" s="314">
        <f>RCL!D14*0.486</f>
        <v>35312836.872648142</v>
      </c>
      <c r="C9" s="314">
        <f>RCL!E14*0.486</f>
        <v>36234801.564117737</v>
      </c>
      <c r="D9" s="456">
        <f>RCL!F14*0.486</f>
        <v>37567119.187210739</v>
      </c>
    </row>
    <row r="10" spans="1:4">
      <c r="A10" s="571"/>
      <c r="B10" s="571"/>
      <c r="C10" s="571"/>
      <c r="D10" s="571"/>
    </row>
    <row r="11" spans="1:4">
      <c r="A11" s="316"/>
      <c r="B11" s="317"/>
      <c r="C11" s="317"/>
      <c r="D11" s="317"/>
    </row>
    <row r="12" spans="1:4">
      <c r="A12" s="316"/>
      <c r="B12" s="317"/>
      <c r="C12" s="317"/>
      <c r="D12" s="317"/>
    </row>
    <row r="13" spans="1:4">
      <c r="A13" s="562" t="s">
        <v>478</v>
      </c>
      <c r="B13" s="564"/>
      <c r="C13" s="564"/>
      <c r="D13" s="565"/>
    </row>
    <row r="14" spans="1:4">
      <c r="A14" s="563"/>
      <c r="B14" s="312">
        <f>Parâmetros!E10</f>
        <v>2019</v>
      </c>
      <c r="C14" s="312">
        <f>Parâmetros!F10</f>
        <v>2020</v>
      </c>
      <c r="D14" s="312">
        <f>Parâmetros!G10</f>
        <v>2021</v>
      </c>
    </row>
    <row r="15" spans="1:4">
      <c r="A15" s="318" t="s">
        <v>479</v>
      </c>
      <c r="B15" s="319">
        <f>RCL!D14*0.06</f>
        <v>4359609.4904503878</v>
      </c>
      <c r="C15" s="319">
        <f>RCL!E14*0.06</f>
        <v>4473432.2918663872</v>
      </c>
      <c r="D15" s="454">
        <f>RCL!F14*0.06</f>
        <v>4637915.9490383631</v>
      </c>
    </row>
    <row r="16" spans="1:4">
      <c r="A16" s="320" t="s">
        <v>480</v>
      </c>
      <c r="B16" s="314">
        <f>RCL!D14*0.057</f>
        <v>4141629.0159278684</v>
      </c>
      <c r="C16" s="314">
        <f>RCL!E14*0.057</f>
        <v>4249760.6772730676</v>
      </c>
      <c r="D16" s="455">
        <f>RCL!F14*0.057</f>
        <v>4406020.151586445</v>
      </c>
    </row>
    <row r="17" spans="1:4">
      <c r="A17" s="321" t="s">
        <v>481</v>
      </c>
      <c r="B17" s="322">
        <f>RCL!D14*0.054</f>
        <v>3923648.541405349</v>
      </c>
      <c r="C17" s="322">
        <f>RCL!E14*0.054</f>
        <v>4026089.0626797485</v>
      </c>
      <c r="D17" s="456">
        <f>RCL!F14*0.054</f>
        <v>4174124.3541345266</v>
      </c>
    </row>
    <row r="20" spans="1:4">
      <c r="A20" s="76"/>
      <c r="B20" s="79"/>
      <c r="C20" s="79"/>
      <c r="D20" s="79"/>
    </row>
    <row r="21" spans="1:4">
      <c r="A21" s="79"/>
      <c r="B21" s="79"/>
      <c r="C21" s="79"/>
      <c r="D21" s="79"/>
    </row>
    <row r="22" spans="1:4">
      <c r="A22" s="79"/>
      <c r="B22" s="79"/>
      <c r="C22" s="79"/>
      <c r="D22" s="79"/>
    </row>
    <row r="23" spans="1:4">
      <c r="A23" s="79"/>
      <c r="B23" s="79"/>
      <c r="C23" s="79"/>
      <c r="D23" s="79"/>
    </row>
    <row r="24" spans="1:4">
      <c r="A24" s="79"/>
      <c r="B24" s="79"/>
      <c r="C24" s="79"/>
      <c r="D24" s="79"/>
    </row>
    <row r="25" spans="1:4">
      <c r="A25" s="79"/>
      <c r="B25" s="79"/>
      <c r="C25" s="79"/>
      <c r="D25" s="79"/>
    </row>
    <row r="26" spans="1:4">
      <c r="A26" s="79"/>
      <c r="B26" s="79"/>
      <c r="C26" s="79"/>
      <c r="D26" s="79"/>
    </row>
    <row r="27" spans="1:4">
      <c r="A27" s="79"/>
      <c r="B27" s="79"/>
      <c r="C27" s="79"/>
      <c r="D27" s="79"/>
    </row>
    <row r="28" spans="1:4">
      <c r="A28" s="79"/>
      <c r="B28" s="79"/>
      <c r="C28" s="79"/>
      <c r="D28" s="79"/>
    </row>
    <row r="29" spans="1:4">
      <c r="A29" s="79"/>
      <c r="B29" s="79"/>
      <c r="C29" s="79"/>
      <c r="D29" s="79"/>
    </row>
    <row r="30" spans="1:4">
      <c r="A30" s="79"/>
      <c r="B30" s="79"/>
      <c r="C30" s="79"/>
      <c r="D30" s="79"/>
    </row>
    <row r="31" spans="1:4">
      <c r="A31" s="79"/>
      <c r="B31" s="79"/>
      <c r="C31" s="79"/>
      <c r="D31" s="79"/>
    </row>
    <row r="32" spans="1:4">
      <c r="A32" s="79"/>
      <c r="B32" s="79"/>
      <c r="C32" s="79"/>
      <c r="D32" s="79"/>
    </row>
    <row r="33" spans="1:4">
      <c r="A33" s="79"/>
      <c r="B33" s="79"/>
      <c r="C33" s="79"/>
      <c r="D33" s="79"/>
    </row>
    <row r="34" spans="1:4">
      <c r="A34" s="79"/>
      <c r="B34" s="79"/>
      <c r="C34" s="79"/>
      <c r="D34" s="79"/>
    </row>
    <row r="35" spans="1:4" ht="0.75" customHeight="1">
      <c r="A35" s="79"/>
      <c r="B35" s="79"/>
      <c r="C35" s="79"/>
      <c r="D35" s="79"/>
    </row>
    <row r="36" spans="1:4" ht="12.75" hidden="1" customHeight="1">
      <c r="A36" s="79"/>
      <c r="B36" s="79"/>
      <c r="C36" s="79"/>
      <c r="D36" s="79"/>
    </row>
    <row r="37" spans="1:4" ht="12.75" hidden="1" customHeight="1">
      <c r="A37" s="79"/>
      <c r="B37" s="79"/>
      <c r="C37" s="79"/>
      <c r="D37" s="79"/>
    </row>
    <row r="38" spans="1:4" ht="12.75" hidden="1" customHeight="1">
      <c r="A38" s="79"/>
      <c r="B38" s="79"/>
      <c r="C38" s="79"/>
      <c r="D38" s="79"/>
    </row>
    <row r="39" spans="1:4" ht="12.75" hidden="1" customHeight="1">
      <c r="A39" s="79"/>
      <c r="B39" s="79"/>
      <c r="C39" s="79"/>
      <c r="D39" s="79"/>
    </row>
    <row r="40" spans="1:4" ht="12.75" hidden="1" customHeight="1">
      <c r="A40" s="79"/>
      <c r="B40" s="79"/>
      <c r="C40" s="79"/>
      <c r="D40" s="79"/>
    </row>
    <row r="41" spans="1:4" ht="12.75" hidden="1" customHeight="1">
      <c r="A41" s="79"/>
      <c r="B41" s="79"/>
      <c r="C41" s="79"/>
      <c r="D41" s="79"/>
    </row>
    <row r="42" spans="1:4" ht="12.75" hidden="1" customHeight="1">
      <c r="A42" s="79"/>
      <c r="B42" s="79"/>
      <c r="C42" s="79"/>
      <c r="D42" s="79"/>
    </row>
  </sheetData>
  <mergeCells count="8">
    <mergeCell ref="A13:A14"/>
    <mergeCell ref="B13:D13"/>
    <mergeCell ref="A1:D1"/>
    <mergeCell ref="A2:D2"/>
    <mergeCell ref="A3:D3"/>
    <mergeCell ref="A5:A6"/>
    <mergeCell ref="B5:D5"/>
    <mergeCell ref="A10:D10"/>
  </mergeCells>
  <phoneticPr fontId="31" type="noConversion"/>
  <pageMargins left="0.511811024" right="0.511811024" top="0.78740157499999996" bottom="0.78740157499999996" header="0.31496062000000002" footer="0.31496062000000002"/>
  <pageSetup paperSize="9" scale="70" orientation="portrait" r:id="rId1"/>
  <legacyDrawing r:id="rId2"/>
  <oleObjects>
    <oleObject progId="Word.Document.8" shapeId="2150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6"/>
  <dimension ref="A1:J44"/>
  <sheetViews>
    <sheetView showGridLines="0" zoomScale="90" zoomScaleNormal="75" workbookViewId="0">
      <selection activeCell="D28" sqref="D28"/>
    </sheetView>
  </sheetViews>
  <sheetFormatPr defaultColWidth="32" defaultRowHeight="12"/>
  <cols>
    <col min="1" max="1" width="48.42578125" style="26" customWidth="1"/>
    <col min="2" max="2" width="15.5703125" style="27" customWidth="1"/>
    <col min="3" max="3" width="16.5703125" style="32" customWidth="1"/>
    <col min="4" max="4" width="16.7109375" style="26" customWidth="1"/>
    <col min="5" max="5" width="16.28515625" style="26" customWidth="1"/>
    <col min="6" max="6" width="16.140625" style="26" customWidth="1"/>
    <col min="7" max="7" width="17" style="26" customWidth="1"/>
    <col min="8" max="18" width="13.7109375" style="26" customWidth="1"/>
    <col min="19" max="16384" width="32" style="26"/>
  </cols>
  <sheetData>
    <row r="1" spans="1:10">
      <c r="A1" s="576" t="str">
        <f>Parâmetros!A7</f>
        <v>Município de : PORTÃO/RS</v>
      </c>
      <c r="B1" s="577"/>
      <c r="C1" s="577"/>
      <c r="D1" s="577"/>
      <c r="E1" s="577"/>
      <c r="F1" s="577"/>
      <c r="G1" s="577"/>
      <c r="H1" s="577"/>
      <c r="I1" s="577"/>
      <c r="J1" s="578"/>
    </row>
    <row r="2" spans="1:10">
      <c r="A2" s="579" t="s">
        <v>511</v>
      </c>
      <c r="B2" s="577"/>
      <c r="C2" s="577"/>
      <c r="D2" s="577"/>
      <c r="E2" s="577"/>
      <c r="F2" s="577"/>
      <c r="G2" s="577"/>
      <c r="H2" s="577"/>
      <c r="I2" s="577"/>
      <c r="J2" s="578"/>
    </row>
    <row r="3" spans="1:10">
      <c r="A3" s="579" t="s">
        <v>595</v>
      </c>
      <c r="B3" s="577"/>
      <c r="C3" s="577"/>
      <c r="D3" s="577"/>
      <c r="E3" s="577"/>
      <c r="F3" s="577"/>
      <c r="G3" s="577"/>
      <c r="H3" s="577"/>
      <c r="I3" s="577"/>
      <c r="J3" s="578"/>
    </row>
    <row r="4" spans="1:10">
      <c r="A4" s="28"/>
      <c r="C4" s="25"/>
    </row>
    <row r="5" spans="1:10" ht="15">
      <c r="A5" s="575" t="s">
        <v>145</v>
      </c>
      <c r="B5" s="80">
        <f>Parâmetros!B10</f>
        <v>2016</v>
      </c>
      <c r="C5" s="80">
        <f>B5+1</f>
        <v>2017</v>
      </c>
      <c r="D5" s="80">
        <f>C5+1</f>
        <v>2018</v>
      </c>
      <c r="E5" s="80">
        <f>D5+1</f>
        <v>2019</v>
      </c>
      <c r="F5" s="80">
        <f>E5+1</f>
        <v>2020</v>
      </c>
      <c r="G5" s="80">
        <f>F5+1</f>
        <v>2021</v>
      </c>
    </row>
    <row r="6" spans="1:10" ht="39.75" customHeight="1">
      <c r="A6" s="575"/>
      <c r="B6" s="95" t="s">
        <v>127</v>
      </c>
      <c r="C6" s="89" t="s">
        <v>127</v>
      </c>
      <c r="D6" s="89" t="s">
        <v>128</v>
      </c>
      <c r="E6" s="89" t="s">
        <v>625</v>
      </c>
      <c r="F6" s="89" t="s">
        <v>625</v>
      </c>
      <c r="G6" s="89" t="s">
        <v>625</v>
      </c>
    </row>
    <row r="7" spans="1:10" ht="22.9" customHeight="1">
      <c r="A7" s="94" t="s">
        <v>619</v>
      </c>
      <c r="B7" s="96">
        <f t="shared" ref="B7:G7" si="0">B8+B9+B10</f>
        <v>1968245.02</v>
      </c>
      <c r="C7" s="96">
        <f t="shared" si="0"/>
        <v>1560483.86</v>
      </c>
      <c r="D7" s="96">
        <f t="shared" si="0"/>
        <v>1613031.5</v>
      </c>
      <c r="E7" s="96">
        <f t="shared" si="0"/>
        <v>1713920.1266666667</v>
      </c>
      <c r="F7" s="96">
        <f t="shared" si="0"/>
        <v>1629145.1622222224</v>
      </c>
      <c r="G7" s="96">
        <f t="shared" si="0"/>
        <v>1652032.2629629632</v>
      </c>
    </row>
    <row r="8" spans="1:10" ht="22.9" customHeight="1">
      <c r="A8" s="82" t="s">
        <v>616</v>
      </c>
      <c r="B8" s="46">
        <v>0</v>
      </c>
      <c r="C8" s="46">
        <v>0</v>
      </c>
      <c r="D8" s="46">
        <v>0</v>
      </c>
      <c r="E8" s="84">
        <f t="shared" ref="E8:G10" si="1">(B8+C8+D8)/3</f>
        <v>0</v>
      </c>
      <c r="F8" s="84">
        <f t="shared" si="1"/>
        <v>0</v>
      </c>
      <c r="G8" s="84">
        <f t="shared" si="1"/>
        <v>0</v>
      </c>
    </row>
    <row r="9" spans="1:10" ht="22.9" customHeight="1">
      <c r="A9" s="82" t="s">
        <v>617</v>
      </c>
      <c r="B9" s="46">
        <v>1968245.02</v>
      </c>
      <c r="C9" s="46">
        <v>1560483.86</v>
      </c>
      <c r="D9" s="46">
        <v>1613031.5</v>
      </c>
      <c r="E9" s="84">
        <f t="shared" si="1"/>
        <v>1713920.1266666667</v>
      </c>
      <c r="F9" s="84">
        <f t="shared" si="1"/>
        <v>1629145.1622222224</v>
      </c>
      <c r="G9" s="84">
        <f t="shared" si="1"/>
        <v>1652032.2629629632</v>
      </c>
    </row>
    <row r="10" spans="1:10" ht="22.9" customHeight="1">
      <c r="A10" s="82" t="s">
        <v>618</v>
      </c>
      <c r="B10" s="46">
        <v>0</v>
      </c>
      <c r="C10" s="46">
        <v>0</v>
      </c>
      <c r="D10" s="46">
        <v>0</v>
      </c>
      <c r="E10" s="84">
        <f t="shared" si="1"/>
        <v>0</v>
      </c>
      <c r="F10" s="84">
        <f t="shared" si="1"/>
        <v>0</v>
      </c>
      <c r="G10" s="84">
        <f t="shared" si="1"/>
        <v>0</v>
      </c>
    </row>
    <row r="11" spans="1:10" ht="15">
      <c r="A11" s="82" t="s">
        <v>620</v>
      </c>
      <c r="B11" s="96">
        <f>B12+B13+B14</f>
        <v>8246403.8999999994</v>
      </c>
      <c r="C11" s="96">
        <f>C12+C13+C14</f>
        <v>10948145.790000001</v>
      </c>
      <c r="D11" s="96">
        <f>D12+D13+D14</f>
        <v>17893910.079999998</v>
      </c>
      <c r="E11" s="96">
        <f>E12-E13+E14</f>
        <v>13398042.803333331</v>
      </c>
      <c r="F11" s="96">
        <f>F12-F13+F14</f>
        <v>14879272.404444445</v>
      </c>
      <c r="G11" s="96">
        <f>G12-G13+G14</f>
        <v>15578559.762592591</v>
      </c>
    </row>
    <row r="12" spans="1:10" ht="15">
      <c r="A12" s="82" t="s">
        <v>621</v>
      </c>
      <c r="B12" s="46">
        <v>8585378.9499999993</v>
      </c>
      <c r="C12" s="46">
        <v>11849778.060000001</v>
      </c>
      <c r="D12" s="46">
        <v>18161137.079999998</v>
      </c>
      <c r="E12" s="84">
        <f t="shared" ref="E12:G14" si="2">(B12+C12+D12)/3</f>
        <v>12865431.363333331</v>
      </c>
      <c r="F12" s="84">
        <f t="shared" si="2"/>
        <v>14292115.501111111</v>
      </c>
      <c r="G12" s="84">
        <f t="shared" si="2"/>
        <v>15106227.981481479</v>
      </c>
    </row>
    <row r="13" spans="1:10" ht="15">
      <c r="A13" s="82" t="s">
        <v>622</v>
      </c>
      <c r="B13" s="46">
        <v>-353975.05</v>
      </c>
      <c r="C13" s="46">
        <v>-916632.27</v>
      </c>
      <c r="D13" s="46">
        <v>-282227</v>
      </c>
      <c r="E13" s="84">
        <f t="shared" si="2"/>
        <v>-517611.44</v>
      </c>
      <c r="F13" s="84">
        <f t="shared" si="2"/>
        <v>-572156.90333333332</v>
      </c>
      <c r="G13" s="84">
        <f t="shared" si="2"/>
        <v>-457331.78111111111</v>
      </c>
    </row>
    <row r="14" spans="1:10" ht="15">
      <c r="A14" s="82" t="s">
        <v>624</v>
      </c>
      <c r="B14" s="46">
        <v>15000</v>
      </c>
      <c r="C14" s="46">
        <v>15000</v>
      </c>
      <c r="D14" s="46">
        <v>15000</v>
      </c>
      <c r="E14" s="84">
        <f t="shared" si="2"/>
        <v>15000</v>
      </c>
      <c r="F14" s="84">
        <f t="shared" si="2"/>
        <v>15000</v>
      </c>
      <c r="G14" s="84">
        <f t="shared" si="2"/>
        <v>15000</v>
      </c>
    </row>
    <row r="15" spans="1:10" ht="22.9" customHeight="1">
      <c r="A15" s="82" t="s">
        <v>623</v>
      </c>
      <c r="B15" s="83">
        <f t="shared" ref="B15:G15" si="3">B7-B11</f>
        <v>-6278158.879999999</v>
      </c>
      <c r="C15" s="83">
        <f t="shared" si="3"/>
        <v>-9387661.9300000016</v>
      </c>
      <c r="D15" s="83">
        <f t="shared" si="3"/>
        <v>-16280878.579999998</v>
      </c>
      <c r="E15" s="83">
        <f t="shared" si="3"/>
        <v>-11684122.676666664</v>
      </c>
      <c r="F15" s="83">
        <f t="shared" si="3"/>
        <v>-13250127.242222223</v>
      </c>
      <c r="G15" s="83">
        <f t="shared" si="3"/>
        <v>-13926527.499629628</v>
      </c>
    </row>
    <row r="16" spans="1:10" s="29" customFormat="1" ht="15">
      <c r="A16" s="36"/>
      <c r="B16" s="37"/>
      <c r="C16" s="37"/>
      <c r="D16" s="37"/>
      <c r="E16" s="37"/>
      <c r="F16" s="37"/>
      <c r="G16" s="37"/>
    </row>
    <row r="17" spans="1:7" ht="15">
      <c r="A17" s="38" t="s">
        <v>626</v>
      </c>
      <c r="B17" s="47"/>
      <c r="C17" s="39"/>
      <c r="D17" s="39"/>
      <c r="E17" s="39"/>
      <c r="F17" s="39"/>
      <c r="G17" s="40" t="s">
        <v>5</v>
      </c>
    </row>
    <row r="18" spans="1:7" ht="15">
      <c r="A18" s="575" t="s">
        <v>153</v>
      </c>
      <c r="B18" s="80">
        <f>Parâmetros!B10</f>
        <v>2016</v>
      </c>
      <c r="C18" s="80">
        <f>B18+1</f>
        <v>2017</v>
      </c>
      <c r="D18" s="80">
        <f>C18+1</f>
        <v>2018</v>
      </c>
      <c r="E18" s="80">
        <f>D18+1</f>
        <v>2019</v>
      </c>
      <c r="F18" s="80">
        <f>E18+1</f>
        <v>2020</v>
      </c>
      <c r="G18" s="80">
        <f>F18+1</f>
        <v>2021</v>
      </c>
    </row>
    <row r="19" spans="1:7" ht="15">
      <c r="A19" s="575"/>
      <c r="B19" s="80" t="s">
        <v>10</v>
      </c>
      <c r="C19" s="81" t="s">
        <v>10</v>
      </c>
      <c r="D19" s="81" t="s">
        <v>128</v>
      </c>
      <c r="E19" s="81" t="s">
        <v>11</v>
      </c>
      <c r="F19" s="81" t="s">
        <v>11</v>
      </c>
      <c r="G19" s="81" t="s">
        <v>11</v>
      </c>
    </row>
    <row r="20" spans="1:7" s="30" customFormat="1" ht="15">
      <c r="A20" s="85" t="s">
        <v>38</v>
      </c>
      <c r="B20" s="86">
        <f>Projeções!D79</f>
        <v>2186466.38</v>
      </c>
      <c r="C20" s="86">
        <f>Projeções!E79</f>
        <v>49302.58</v>
      </c>
      <c r="D20" s="86">
        <f>Projeções!F79</f>
        <v>1000</v>
      </c>
      <c r="E20" s="48">
        <v>0</v>
      </c>
      <c r="F20" s="48">
        <v>0</v>
      </c>
      <c r="G20" s="48">
        <v>0</v>
      </c>
    </row>
    <row r="21" spans="1:7" ht="15">
      <c r="A21" s="82" t="s">
        <v>482</v>
      </c>
      <c r="B21" s="83">
        <f>Projeções!D119+Projeções!D120</f>
        <v>0</v>
      </c>
      <c r="C21" s="83">
        <f>Projeções!E119+Projeções!E120</f>
        <v>142999.85999999999</v>
      </c>
      <c r="D21" s="83">
        <f>Projeções!F119+Projeções!F120</f>
        <v>395000</v>
      </c>
      <c r="E21" s="83">
        <f>Projeções!G119+Projeções!G120</f>
        <v>201408.89770356851</v>
      </c>
      <c r="F21" s="83">
        <f>Projeções!H119+Projeções!H120</f>
        <v>217702.8775277872</v>
      </c>
      <c r="G21" s="83">
        <f>Projeções!I119+Projeções!I120</f>
        <v>235293.27003203239</v>
      </c>
    </row>
    <row r="22" spans="1:7" ht="15">
      <c r="A22" s="82" t="s">
        <v>483</v>
      </c>
      <c r="B22" s="83">
        <f>Projeções!D136+Projeções!D137</f>
        <v>1846516.7</v>
      </c>
      <c r="C22" s="83">
        <f>Projeções!E136+Projeções!E137</f>
        <v>2183747.2400000002</v>
      </c>
      <c r="D22" s="83">
        <f>Projeções!F136+Projeções!F137</f>
        <v>2500000</v>
      </c>
      <c r="E22" s="83">
        <f>Projeções!G136+Projeções!G137</f>
        <v>2446584.9200606253</v>
      </c>
      <c r="F22" s="83">
        <f>Projeções!H136+Projeções!H137</f>
        <v>2544937.6338470625</v>
      </c>
      <c r="G22" s="83">
        <f>Projeções!I136+Projeções!I137</f>
        <v>2645208.1766206371</v>
      </c>
    </row>
    <row r="23" spans="1:7" ht="15.75" hidden="1" customHeight="1">
      <c r="A23" s="50" t="s">
        <v>35</v>
      </c>
      <c r="B23" s="49"/>
      <c r="C23" s="49"/>
      <c r="D23" s="49"/>
      <c r="E23" s="49"/>
      <c r="F23" s="49"/>
      <c r="G23" s="49"/>
    </row>
    <row r="24" spans="1:7" ht="12.75">
      <c r="A24" s="572" t="s">
        <v>792</v>
      </c>
      <c r="B24" s="573"/>
      <c r="C24" s="573"/>
      <c r="D24" s="573"/>
      <c r="E24" s="573"/>
      <c r="F24" s="573"/>
      <c r="G24" s="574"/>
    </row>
    <row r="25" spans="1:7">
      <c r="A25" s="28"/>
      <c r="C25" s="25"/>
    </row>
    <row r="26" spans="1:7">
      <c r="A26" s="28"/>
      <c r="C26" s="25"/>
    </row>
    <row r="27" spans="1:7">
      <c r="A27" s="28"/>
      <c r="C27" s="25"/>
    </row>
    <row r="28" spans="1:7">
      <c r="A28" s="28"/>
      <c r="C28" s="25"/>
    </row>
    <row r="29" spans="1:7">
      <c r="A29" s="28"/>
      <c r="C29" s="25"/>
    </row>
    <row r="30" spans="1:7">
      <c r="A30" s="28"/>
      <c r="C30" s="25"/>
    </row>
    <row r="31" spans="1:7">
      <c r="A31" s="31"/>
    </row>
    <row r="32" spans="1:7">
      <c r="A32" s="31"/>
    </row>
    <row r="33" spans="1:1">
      <c r="A33" s="31"/>
    </row>
    <row r="34" spans="1:1">
      <c r="A34" s="31"/>
    </row>
    <row r="35" spans="1:1">
      <c r="A35" s="31"/>
    </row>
    <row r="36" spans="1:1">
      <c r="A36" s="31"/>
    </row>
    <row r="37" spans="1:1">
      <c r="A37" s="31"/>
    </row>
    <row r="38" spans="1:1">
      <c r="A38" s="31"/>
    </row>
    <row r="39" spans="1:1">
      <c r="A39" s="31"/>
    </row>
    <row r="40" spans="1:1">
      <c r="A40" s="31"/>
    </row>
    <row r="41" spans="1:1">
      <c r="A41" s="31"/>
    </row>
    <row r="42" spans="1:1">
      <c r="A42" s="31"/>
    </row>
    <row r="43" spans="1:1">
      <c r="A43" s="31"/>
    </row>
    <row r="44" spans="1:1">
      <c r="A44" s="31"/>
    </row>
  </sheetData>
  <customSheetViews>
    <customSheetView guid="{16B3F100-CCE8-11D8-BD62-000C6E3CD3F1}" scale="75" showGridLines="0" hiddenRows="1" showRuler="0" topLeftCell="A25">
      <selection activeCell="E36" sqref="E36"/>
      <pageMargins left="0.78740157499999996" right="0.78740157499999996" top="0.984251969" bottom="0.984251969" header="0.49212598499999999" footer="0.49212598499999999"/>
      <pageSetup orientation="portrait" horizontalDpi="200" verticalDpi="200" r:id="rId1"/>
      <headerFooter alignWithMargins="0"/>
    </customSheetView>
  </customSheetViews>
  <mergeCells count="6">
    <mergeCell ref="A24:G24"/>
    <mergeCell ref="A18:A19"/>
    <mergeCell ref="A1:J1"/>
    <mergeCell ref="A2:J2"/>
    <mergeCell ref="A3:J3"/>
    <mergeCell ref="A5:A6"/>
  </mergeCells>
  <phoneticPr fontId="25" type="noConversion"/>
  <pageMargins left="0.78740157499999996" right="0.78740157499999996" top="0.984251969" bottom="0.984251969" header="0.49212598499999999" footer="0.49212598499999999"/>
  <pageSetup scale="61" orientation="portrait" horizontalDpi="200" verticalDpi="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selection activeCell="J15" sqref="J15"/>
    </sheetView>
  </sheetViews>
  <sheetFormatPr defaultColWidth="32" defaultRowHeight="15"/>
  <cols>
    <col min="1" max="1" width="51.85546875" style="90" customWidth="1"/>
    <col min="2" max="2" width="13.42578125" style="91" customWidth="1"/>
    <col min="3" max="3" width="14" style="93" customWidth="1"/>
    <col min="4" max="4" width="14.7109375" style="90" customWidth="1"/>
    <col min="5" max="5" width="14.42578125" style="90" customWidth="1"/>
    <col min="6" max="6" width="14.85546875" style="90" customWidth="1"/>
    <col min="7" max="7" width="14.140625" style="90" customWidth="1"/>
    <col min="8" max="17" width="13.7109375" style="90" customWidth="1"/>
    <col min="18" max="16384" width="32" style="90"/>
  </cols>
  <sheetData>
    <row r="1" spans="1:9">
      <c r="A1" s="581" t="str">
        <f>Parâmetros!A7</f>
        <v>Município de : PORTÃO/RS</v>
      </c>
      <c r="B1" s="582"/>
      <c r="C1" s="582"/>
      <c r="D1" s="582"/>
      <c r="E1" s="582"/>
      <c r="F1" s="582"/>
      <c r="G1" s="582"/>
      <c r="H1" s="582"/>
      <c r="I1" s="583"/>
    </row>
    <row r="2" spans="1:9">
      <c r="A2" s="584" t="s">
        <v>511</v>
      </c>
      <c r="B2" s="582"/>
      <c r="C2" s="582"/>
      <c r="D2" s="582"/>
      <c r="E2" s="582"/>
      <c r="F2" s="582"/>
      <c r="G2" s="582"/>
      <c r="H2" s="582"/>
      <c r="I2" s="583"/>
    </row>
    <row r="3" spans="1:9">
      <c r="A3" s="584" t="s">
        <v>512</v>
      </c>
      <c r="B3" s="582"/>
      <c r="C3" s="582"/>
      <c r="D3" s="582"/>
      <c r="E3" s="582"/>
      <c r="F3" s="582"/>
      <c r="G3" s="582"/>
      <c r="H3" s="582"/>
      <c r="I3" s="583"/>
    </row>
    <row r="4" spans="1:9">
      <c r="A4" s="323"/>
      <c r="B4" s="324"/>
      <c r="C4" s="297"/>
      <c r="D4" s="297"/>
      <c r="E4" s="297"/>
      <c r="F4" s="297"/>
      <c r="G4" s="297"/>
      <c r="H4" s="297"/>
      <c r="I4" s="297"/>
    </row>
    <row r="5" spans="1:9">
      <c r="A5" s="580" t="s">
        <v>513</v>
      </c>
      <c r="B5" s="328">
        <f>Parâmetros!B10</f>
        <v>2016</v>
      </c>
      <c r="C5" s="328">
        <f>B5+1</f>
        <v>2017</v>
      </c>
      <c r="D5" s="328">
        <f>C5+1</f>
        <v>2018</v>
      </c>
      <c r="E5" s="328">
        <f>D5+1</f>
        <v>2019</v>
      </c>
      <c r="F5" s="328">
        <f>E5+1</f>
        <v>2020</v>
      </c>
      <c r="G5" s="328">
        <f>F5+1</f>
        <v>2021</v>
      </c>
      <c r="H5" s="297"/>
      <c r="I5" s="297"/>
    </row>
    <row r="6" spans="1:9" ht="12.75" customHeight="1">
      <c r="A6" s="580"/>
      <c r="B6" s="328" t="s">
        <v>514</v>
      </c>
      <c r="C6" s="328" t="s">
        <v>514</v>
      </c>
      <c r="D6" s="329" t="s">
        <v>515</v>
      </c>
      <c r="E6" s="329" t="s">
        <v>515</v>
      </c>
      <c r="F6" s="329" t="s">
        <v>515</v>
      </c>
      <c r="G6" s="329" t="s">
        <v>515</v>
      </c>
      <c r="H6" s="297"/>
      <c r="I6" s="297"/>
    </row>
    <row r="7" spans="1:9" ht="20.100000000000001" customHeight="1">
      <c r="A7" s="330" t="s">
        <v>215</v>
      </c>
      <c r="B7" s="331">
        <f>Projeções!D8+Projeções!D99-Projeções!D103</f>
        <v>82828065.80400002</v>
      </c>
      <c r="C7" s="331">
        <f>Projeções!E8+Projeções!E99-Projeções!E103</f>
        <v>84372865.030000016</v>
      </c>
      <c r="D7" s="331">
        <f>Projeções!F8+Projeções!F99-Projeções!F103</f>
        <v>84322450</v>
      </c>
      <c r="E7" s="331">
        <f>Projeções!G8+Projeções!G99-Projeções!G103</f>
        <v>85263606.481257617</v>
      </c>
      <c r="F7" s="331">
        <f>Projeções!H8+Projeções!H99-Projeções!H103</f>
        <v>88024340.70009543</v>
      </c>
      <c r="G7" s="331">
        <f>Projeções!I8+Projeções!I99-Projeções!I103</f>
        <v>91742050.933115408</v>
      </c>
      <c r="H7" s="297"/>
      <c r="I7" s="297"/>
    </row>
    <row r="8" spans="1:9" ht="20.100000000000001" customHeight="1">
      <c r="A8" s="332" t="s">
        <v>516</v>
      </c>
      <c r="B8" s="331">
        <f>Projeções!D25-Projeções!D28</f>
        <v>1227896.2400000002</v>
      </c>
      <c r="C8" s="331">
        <f>Projeções!E25-Projeções!E28</f>
        <v>987226.63000000082</v>
      </c>
      <c r="D8" s="331">
        <f>Projeções!F25-Projeções!F28</f>
        <v>882000</v>
      </c>
      <c r="E8" s="331">
        <f>Projeções!G25-Projeções!G28</f>
        <v>882000</v>
      </c>
      <c r="F8" s="331">
        <f>Projeções!H25-Projeções!H28</f>
        <v>942044.23152000085</v>
      </c>
      <c r="G8" s="331">
        <f>Projeções!I25-Projeções!I28</f>
        <v>1005010.6186818732</v>
      </c>
      <c r="H8" s="297"/>
      <c r="I8" s="297"/>
    </row>
    <row r="9" spans="1:9" ht="20.100000000000001" customHeight="1">
      <c r="A9" s="332" t="s">
        <v>517</v>
      </c>
      <c r="B9" s="333">
        <f>Projeções!D28</f>
        <v>12196385.390000001</v>
      </c>
      <c r="C9" s="333">
        <f>Projeções!E28</f>
        <v>11087842.25</v>
      </c>
      <c r="D9" s="333">
        <f>Projeções!F28</f>
        <v>7000000</v>
      </c>
      <c r="E9" s="333">
        <f>Projeções!G28</f>
        <v>7000000</v>
      </c>
      <c r="F9" s="333">
        <f>Projeções!H28</f>
        <v>7476541.5199999996</v>
      </c>
      <c r="G9" s="333">
        <f>Projeções!I28</f>
        <v>7976274.7514434429</v>
      </c>
      <c r="H9" s="297"/>
      <c r="I9" s="297"/>
    </row>
    <row r="10" spans="1:9" ht="20.100000000000001" customHeight="1">
      <c r="A10" s="332" t="s">
        <v>518</v>
      </c>
      <c r="B10" s="333">
        <f>Projeções!D37+Projeções!D69+Projeções!D74+Projeções!D76</f>
        <v>0</v>
      </c>
      <c r="C10" s="333">
        <f>Projeções!E37+Projeções!E69+Projeções!E74+Projeções!E76</f>
        <v>0</v>
      </c>
      <c r="D10" s="333">
        <f>Projeções!F37+Projeções!F69+Projeções!F74+Projeções!F76</f>
        <v>0</v>
      </c>
      <c r="E10" s="333">
        <f>Projeções!G37+Projeções!G69+Projeções!G74+Projeções!G76</f>
        <v>0</v>
      </c>
      <c r="F10" s="333">
        <f>Projeções!H37+Projeções!H69+Projeções!H74+Projeções!H76</f>
        <v>0</v>
      </c>
      <c r="G10" s="333">
        <f>Projeções!I37+Projeções!I69+Projeções!I74+Projeções!I76</f>
        <v>0</v>
      </c>
      <c r="H10" s="297"/>
      <c r="I10" s="297"/>
    </row>
    <row r="11" spans="1:9" ht="20.100000000000001" customHeight="1">
      <c r="A11" s="330" t="s">
        <v>547</v>
      </c>
      <c r="B11" s="334">
        <f t="shared" ref="B11:G11" si="0">B7-B8-B9-B10</f>
        <v>69403784.174000025</v>
      </c>
      <c r="C11" s="334">
        <f t="shared" si="0"/>
        <v>72297796.150000021</v>
      </c>
      <c r="D11" s="334">
        <f t="shared" si="0"/>
        <v>76440450</v>
      </c>
      <c r="E11" s="334">
        <f t="shared" si="0"/>
        <v>77381606.481257617</v>
      </c>
      <c r="F11" s="334">
        <f t="shared" si="0"/>
        <v>79605754.948575437</v>
      </c>
      <c r="G11" s="334">
        <f t="shared" si="0"/>
        <v>82760765.562990084</v>
      </c>
      <c r="H11" s="297"/>
      <c r="I11" s="297"/>
    </row>
    <row r="12" spans="1:9" ht="20.100000000000001" customHeight="1">
      <c r="A12" s="330"/>
      <c r="B12" s="334"/>
      <c r="C12" s="334"/>
      <c r="D12" s="334"/>
      <c r="E12" s="334"/>
      <c r="F12" s="334"/>
      <c r="G12" s="334"/>
      <c r="H12" s="297"/>
      <c r="I12" s="297"/>
    </row>
    <row r="13" spans="1:9" ht="20.100000000000001" customHeight="1">
      <c r="A13" s="335" t="s">
        <v>333</v>
      </c>
      <c r="B13" s="334">
        <f>Projeções!D78+Projeções!D103</f>
        <v>3104631.63</v>
      </c>
      <c r="C13" s="334">
        <f>Projeções!E78+Projeções!E103</f>
        <v>486414.4</v>
      </c>
      <c r="D13" s="334">
        <f>Projeções!F78+Projeções!F103</f>
        <v>466000</v>
      </c>
      <c r="E13" s="334">
        <f>Projeções!G78+Projeções!G103</f>
        <v>26215.787601611868</v>
      </c>
      <c r="F13" s="334">
        <f>Projeções!H78+Projeções!H103</f>
        <v>27297.539623196666</v>
      </c>
      <c r="G13" s="334">
        <f>Projeções!I78+Projeções!I103</f>
        <v>28402.370898001398</v>
      </c>
      <c r="H13" s="297"/>
      <c r="I13" s="297"/>
    </row>
    <row r="14" spans="1:9" ht="20.100000000000001" customHeight="1">
      <c r="A14" s="336" t="s">
        <v>519</v>
      </c>
      <c r="B14" s="333">
        <f>Projeções!D79</f>
        <v>2186466.38</v>
      </c>
      <c r="C14" s="333">
        <f>Projeções!E79</f>
        <v>49302.58</v>
      </c>
      <c r="D14" s="333">
        <f>Projeções!F79</f>
        <v>1000</v>
      </c>
      <c r="E14" s="333">
        <f>Projeções!G79</f>
        <v>0</v>
      </c>
      <c r="F14" s="333">
        <f>Projeções!H79</f>
        <v>0</v>
      </c>
      <c r="G14" s="333">
        <f>Projeções!I79</f>
        <v>0</v>
      </c>
      <c r="H14" s="297"/>
      <c r="I14" s="297"/>
    </row>
    <row r="15" spans="1:9" ht="20.100000000000001" customHeight="1">
      <c r="A15" s="336" t="s">
        <v>520</v>
      </c>
      <c r="B15" s="333">
        <f>Projeções!D85</f>
        <v>27423.32</v>
      </c>
      <c r="C15" s="333">
        <f>Projeções!E85</f>
        <v>23947.02</v>
      </c>
      <c r="D15" s="333">
        <f>Projeções!F85</f>
        <v>15000</v>
      </c>
      <c r="E15" s="333">
        <f>Projeções!G85</f>
        <v>25215.787601611868</v>
      </c>
      <c r="F15" s="333">
        <f>Projeções!H85</f>
        <v>26229.462263196667</v>
      </c>
      <c r="G15" s="333">
        <f>Projeções!I85</f>
        <v>27262.90307636662</v>
      </c>
      <c r="H15" s="297"/>
      <c r="I15" s="297"/>
    </row>
    <row r="16" spans="1:9" ht="20.100000000000001" customHeight="1">
      <c r="A16" s="336" t="s">
        <v>521</v>
      </c>
      <c r="B16" s="333">
        <f>Projeções!D81+Projeções!D82</f>
        <v>0</v>
      </c>
      <c r="C16" s="333">
        <f>Projeções!E81+Projeções!E82</f>
        <v>0</v>
      </c>
      <c r="D16" s="333">
        <f>Projeções!F81+Projeções!F82</f>
        <v>0</v>
      </c>
      <c r="E16" s="333">
        <f>Projeções!G81+Projeções!G82</f>
        <v>0</v>
      </c>
      <c r="F16" s="333">
        <f>Projeções!H81+Projeções!H82</f>
        <v>0</v>
      </c>
      <c r="G16" s="333">
        <f>Projeções!I81+Projeções!I82</f>
        <v>0</v>
      </c>
      <c r="H16" s="297"/>
      <c r="I16" s="297"/>
    </row>
    <row r="17" spans="1:9" ht="20.100000000000001" customHeight="1">
      <c r="A17" s="336" t="s">
        <v>522</v>
      </c>
      <c r="B17" s="333">
        <f>Projeções!D96</f>
        <v>0</v>
      </c>
      <c r="C17" s="333">
        <f>Projeções!E96</f>
        <v>0</v>
      </c>
      <c r="D17" s="333">
        <f>Projeções!F96</f>
        <v>0</v>
      </c>
      <c r="E17" s="333">
        <f>Projeções!G96</f>
        <v>0</v>
      </c>
      <c r="F17" s="333">
        <f>Projeções!H96</f>
        <v>0</v>
      </c>
      <c r="G17" s="333">
        <f>Projeções!I96</f>
        <v>0</v>
      </c>
      <c r="H17" s="326"/>
      <c r="I17" s="297"/>
    </row>
    <row r="18" spans="1:9" ht="20.100000000000001" customHeight="1">
      <c r="A18" s="335" t="s">
        <v>548</v>
      </c>
      <c r="B18" s="334">
        <f t="shared" ref="B18:G18" si="1">B13-B14-B15-B16-B17</f>
        <v>890741.93</v>
      </c>
      <c r="C18" s="334">
        <f t="shared" si="1"/>
        <v>413164.79999999999</v>
      </c>
      <c r="D18" s="334">
        <f t="shared" si="1"/>
        <v>450000</v>
      </c>
      <c r="E18" s="334">
        <f t="shared" si="1"/>
        <v>1000</v>
      </c>
      <c r="F18" s="334">
        <f t="shared" si="1"/>
        <v>1068.0773599999993</v>
      </c>
      <c r="G18" s="334">
        <f t="shared" si="1"/>
        <v>1139.4678216347784</v>
      </c>
      <c r="H18" s="297"/>
      <c r="I18" s="297"/>
    </row>
    <row r="19" spans="1:9" s="92" customFormat="1" ht="20.100000000000001" customHeight="1">
      <c r="A19" s="337" t="s">
        <v>549</v>
      </c>
      <c r="B19" s="338">
        <f t="shared" ref="B19:G19" si="2">B11+B18</f>
        <v>70294526.104000032</v>
      </c>
      <c r="C19" s="338">
        <f t="shared" si="2"/>
        <v>72710960.950000018</v>
      </c>
      <c r="D19" s="338">
        <f t="shared" si="2"/>
        <v>76890450</v>
      </c>
      <c r="E19" s="338">
        <f t="shared" si="2"/>
        <v>77382606.481257617</v>
      </c>
      <c r="F19" s="338">
        <f t="shared" si="2"/>
        <v>79606823.025935441</v>
      </c>
      <c r="G19" s="338">
        <f t="shared" si="2"/>
        <v>82761905.030811712</v>
      </c>
      <c r="H19" s="325"/>
      <c r="I19" s="325"/>
    </row>
    <row r="20" spans="1:9">
      <c r="A20" s="339"/>
      <c r="B20" s="340"/>
      <c r="C20" s="341"/>
      <c r="D20" s="166"/>
      <c r="E20" s="166"/>
      <c r="F20" s="166"/>
      <c r="G20" s="166"/>
      <c r="H20" s="297"/>
      <c r="I20" s="297"/>
    </row>
    <row r="21" spans="1:9">
      <c r="A21" s="580" t="s">
        <v>541</v>
      </c>
      <c r="B21" s="328">
        <f>B5</f>
        <v>2016</v>
      </c>
      <c r="C21" s="328">
        <f>B21+1</f>
        <v>2017</v>
      </c>
      <c r="D21" s="328">
        <f>C21+1</f>
        <v>2018</v>
      </c>
      <c r="E21" s="328">
        <f>D21+1</f>
        <v>2019</v>
      </c>
      <c r="F21" s="328">
        <f>E21+1</f>
        <v>2020</v>
      </c>
      <c r="G21" s="328">
        <f>F21+1</f>
        <v>2021</v>
      </c>
      <c r="H21" s="297"/>
      <c r="I21" s="297"/>
    </row>
    <row r="22" spans="1:9">
      <c r="A22" s="580"/>
      <c r="B22" s="328" t="s">
        <v>553</v>
      </c>
      <c r="C22" s="328" t="s">
        <v>553</v>
      </c>
      <c r="D22" s="329" t="s">
        <v>554</v>
      </c>
      <c r="E22" s="329" t="s">
        <v>515</v>
      </c>
      <c r="F22" s="329" t="s">
        <v>515</v>
      </c>
      <c r="G22" s="329" t="s">
        <v>515</v>
      </c>
      <c r="H22" s="297"/>
      <c r="I22" s="297"/>
    </row>
    <row r="23" spans="1:9">
      <c r="A23" s="330" t="s">
        <v>434</v>
      </c>
      <c r="B23" s="342">
        <f>Projeções!D113</f>
        <v>67296925.020000011</v>
      </c>
      <c r="C23" s="342">
        <f>Projeções!E113</f>
        <v>69415072.459999993</v>
      </c>
      <c r="D23" s="342">
        <f>Projeções!F113</f>
        <v>80202740</v>
      </c>
      <c r="E23" s="342">
        <f>Projeções!G113</f>
        <v>86813294.062190562</v>
      </c>
      <c r="F23" s="342">
        <f>Projeções!H113</f>
        <v>92059214.48772642</v>
      </c>
      <c r="G23" s="342">
        <f>Projeções!I113</f>
        <v>98553970.293483987</v>
      </c>
      <c r="H23" s="327"/>
      <c r="I23" s="297"/>
    </row>
    <row r="24" spans="1:9">
      <c r="A24" s="332" t="s">
        <v>542</v>
      </c>
      <c r="B24" s="331">
        <f>Projeções!D118</f>
        <v>0</v>
      </c>
      <c r="C24" s="331">
        <f>Projeções!E118</f>
        <v>142999.85999999999</v>
      </c>
      <c r="D24" s="331">
        <f>Projeções!F118</f>
        <v>395000</v>
      </c>
      <c r="E24" s="331">
        <f>Projeções!G118</f>
        <v>201408.89770356851</v>
      </c>
      <c r="F24" s="331">
        <f>Projeções!H118</f>
        <v>217702.8775277872</v>
      </c>
      <c r="G24" s="331">
        <f>Projeções!I118</f>
        <v>235293.27003203239</v>
      </c>
      <c r="H24" s="297"/>
      <c r="I24" s="297"/>
    </row>
    <row r="25" spans="1:9">
      <c r="A25" s="330" t="s">
        <v>550</v>
      </c>
      <c r="B25" s="334">
        <f t="shared" ref="B25:G25" si="3">B23-B24</f>
        <v>67296925.020000011</v>
      </c>
      <c r="C25" s="334">
        <f t="shared" si="3"/>
        <v>69272072.599999994</v>
      </c>
      <c r="D25" s="334">
        <f t="shared" si="3"/>
        <v>79807740</v>
      </c>
      <c r="E25" s="334">
        <f t="shared" si="3"/>
        <v>86611885.164486989</v>
      </c>
      <c r="F25" s="334">
        <f t="shared" si="3"/>
        <v>91841511.610198632</v>
      </c>
      <c r="G25" s="334">
        <f t="shared" si="3"/>
        <v>98318677.023451954</v>
      </c>
      <c r="H25" s="297"/>
      <c r="I25" s="297"/>
    </row>
    <row r="26" spans="1:9">
      <c r="A26" s="330"/>
      <c r="B26" s="334"/>
      <c r="C26" s="334"/>
      <c r="D26" s="334"/>
      <c r="E26" s="334"/>
      <c r="F26" s="334"/>
      <c r="G26" s="334"/>
      <c r="H26" s="297"/>
      <c r="I26" s="297"/>
    </row>
    <row r="27" spans="1:9">
      <c r="A27" s="335" t="s">
        <v>435</v>
      </c>
      <c r="B27" s="334">
        <f>Projeções!D126</f>
        <v>6258552.8400000008</v>
      </c>
      <c r="C27" s="334">
        <f>Projeções!E126</f>
        <v>3811445.3100000005</v>
      </c>
      <c r="D27" s="334">
        <f>Projeções!F126</f>
        <v>7786950</v>
      </c>
      <c r="E27" s="334">
        <f>Projeções!G126</f>
        <v>8441095.8000606261</v>
      </c>
      <c r="F27" s="334">
        <f>Projeções!H126</f>
        <v>8544937.6338470615</v>
      </c>
      <c r="G27" s="334">
        <f>Projeções!I126</f>
        <v>10645208.176620636</v>
      </c>
      <c r="H27" s="297"/>
      <c r="I27" s="297"/>
    </row>
    <row r="28" spans="1:9">
      <c r="A28" s="336" t="s">
        <v>543</v>
      </c>
      <c r="B28" s="333">
        <f>Projeções!D132</f>
        <v>0</v>
      </c>
      <c r="C28" s="333">
        <f>Projeções!E132</f>
        <v>0</v>
      </c>
      <c r="D28" s="333">
        <f>Projeções!F132</f>
        <v>0</v>
      </c>
      <c r="E28" s="333">
        <f>Projeções!G132</f>
        <v>0</v>
      </c>
      <c r="F28" s="333">
        <f>Projeções!H132</f>
        <v>0</v>
      </c>
      <c r="G28" s="333">
        <f>Projeções!I132</f>
        <v>0</v>
      </c>
      <c r="H28" s="297"/>
      <c r="I28" s="297"/>
    </row>
    <row r="29" spans="1:9">
      <c r="A29" s="336" t="s">
        <v>544</v>
      </c>
      <c r="B29" s="333"/>
      <c r="C29" s="333"/>
      <c r="D29" s="333"/>
      <c r="E29" s="333"/>
      <c r="F29" s="333"/>
      <c r="G29" s="333"/>
      <c r="H29" s="297"/>
      <c r="I29" s="297"/>
    </row>
    <row r="30" spans="1:9">
      <c r="A30" s="336" t="s">
        <v>545</v>
      </c>
      <c r="B30" s="333"/>
      <c r="C30" s="333"/>
      <c r="D30" s="333"/>
      <c r="E30" s="333"/>
      <c r="F30" s="333"/>
      <c r="G30" s="333"/>
      <c r="H30" s="297"/>
      <c r="I30" s="297"/>
    </row>
    <row r="31" spans="1:9">
      <c r="A31" s="336" t="s">
        <v>546</v>
      </c>
      <c r="B31" s="333">
        <f>Projeções!D136</f>
        <v>1846516.7</v>
      </c>
      <c r="C31" s="333">
        <f>Projeções!E136</f>
        <v>2183747.2400000002</v>
      </c>
      <c r="D31" s="333">
        <f>Projeções!F136</f>
        <v>2500000</v>
      </c>
      <c r="E31" s="333">
        <f>Projeções!G136</f>
        <v>2446584.9200606253</v>
      </c>
      <c r="F31" s="333">
        <f>Projeções!H136</f>
        <v>2544937.6338470625</v>
      </c>
      <c r="G31" s="333">
        <f>Projeções!I136</f>
        <v>2645208.1766206371</v>
      </c>
      <c r="H31" s="297"/>
      <c r="I31" s="297"/>
    </row>
    <row r="32" spans="1:9">
      <c r="A32" s="335" t="s">
        <v>551</v>
      </c>
      <c r="B32" s="334">
        <f t="shared" ref="B32:G32" si="4">B27-B28-B29-B30-B31</f>
        <v>4412036.1400000006</v>
      </c>
      <c r="C32" s="334">
        <f t="shared" si="4"/>
        <v>1627698.0700000003</v>
      </c>
      <c r="D32" s="334">
        <f t="shared" si="4"/>
        <v>5286950</v>
      </c>
      <c r="E32" s="334">
        <f t="shared" si="4"/>
        <v>5994510.8800000008</v>
      </c>
      <c r="F32" s="334">
        <f t="shared" si="4"/>
        <v>5999999.9999999991</v>
      </c>
      <c r="G32" s="334">
        <f t="shared" si="4"/>
        <v>7999999.9999999991</v>
      </c>
      <c r="H32" s="297"/>
      <c r="I32" s="297"/>
    </row>
    <row r="33" spans="1:9">
      <c r="A33" s="337" t="s">
        <v>552</v>
      </c>
      <c r="B33" s="338">
        <f t="shared" ref="B33:G33" si="5">B25+B32</f>
        <v>71708961.160000011</v>
      </c>
      <c r="C33" s="338">
        <f t="shared" si="5"/>
        <v>70899770.669999987</v>
      </c>
      <c r="D33" s="338">
        <f t="shared" si="5"/>
        <v>85094690</v>
      </c>
      <c r="E33" s="338">
        <f t="shared" si="5"/>
        <v>92606396.044486985</v>
      </c>
      <c r="F33" s="338">
        <f t="shared" si="5"/>
        <v>97841511.610198632</v>
      </c>
      <c r="G33" s="338">
        <f t="shared" si="5"/>
        <v>106318677.02345195</v>
      </c>
      <c r="H33" s="297"/>
      <c r="I33" s="297"/>
    </row>
    <row r="34" spans="1:9">
      <c r="A34" s="166"/>
      <c r="B34" s="340"/>
      <c r="C34" s="341"/>
      <c r="D34" s="166"/>
      <c r="E34" s="166"/>
      <c r="F34" s="166"/>
      <c r="G34" s="166"/>
      <c r="H34" s="297"/>
      <c r="I34" s="297"/>
    </row>
    <row r="35" spans="1:9">
      <c r="A35" s="292" t="s">
        <v>555</v>
      </c>
      <c r="B35" s="343">
        <f t="shared" ref="B35:G35" si="6">B19-B33</f>
        <v>-1414435.0559999794</v>
      </c>
      <c r="C35" s="343">
        <f t="shared" si="6"/>
        <v>1811190.280000031</v>
      </c>
      <c r="D35" s="343">
        <f t="shared" si="6"/>
        <v>-8204240</v>
      </c>
      <c r="E35" s="343">
        <f t="shared" si="6"/>
        <v>-15223789.563229367</v>
      </c>
      <c r="F35" s="343">
        <f t="shared" si="6"/>
        <v>-18234688.584263191</v>
      </c>
      <c r="G35" s="343">
        <f t="shared" si="6"/>
        <v>-23556771.992640242</v>
      </c>
      <c r="H35" s="297"/>
      <c r="I35" s="297"/>
    </row>
    <row r="36" spans="1:9">
      <c r="A36" s="166"/>
      <c r="B36" s="340"/>
      <c r="C36" s="341"/>
      <c r="D36" s="166"/>
      <c r="E36" s="166"/>
      <c r="F36" s="166"/>
      <c r="G36" s="166"/>
      <c r="H36" s="297"/>
      <c r="I36" s="297"/>
    </row>
    <row r="37" spans="1:9">
      <c r="A37" s="580" t="s">
        <v>556</v>
      </c>
      <c r="B37" s="328">
        <f>B21</f>
        <v>2016</v>
      </c>
      <c r="C37" s="328">
        <f>B37+1</f>
        <v>2017</v>
      </c>
      <c r="D37" s="328">
        <f>C37+1</f>
        <v>2018</v>
      </c>
      <c r="E37" s="328">
        <f>D37+1</f>
        <v>2019</v>
      </c>
      <c r="F37" s="328">
        <f>E37+1</f>
        <v>2020</v>
      </c>
      <c r="G37" s="328">
        <f>F37+1</f>
        <v>2021</v>
      </c>
      <c r="H37" s="297"/>
      <c r="I37" s="297"/>
    </row>
    <row r="38" spans="1:9" ht="15.75" thickBot="1">
      <c r="A38" s="580"/>
      <c r="B38" s="328" t="s">
        <v>127</v>
      </c>
      <c r="C38" s="328" t="s">
        <v>127</v>
      </c>
      <c r="D38" s="329" t="s">
        <v>127</v>
      </c>
      <c r="E38" s="329" t="s">
        <v>515</v>
      </c>
      <c r="F38" s="329" t="s">
        <v>515</v>
      </c>
      <c r="G38" s="329" t="s">
        <v>515</v>
      </c>
      <c r="H38" s="297"/>
      <c r="I38" s="297"/>
    </row>
    <row r="39" spans="1:9" ht="26.25" thickBot="1">
      <c r="A39" s="344" t="s">
        <v>557</v>
      </c>
      <c r="B39" s="345">
        <v>0</v>
      </c>
      <c r="C39" s="345">
        <v>0</v>
      </c>
      <c r="D39" s="345">
        <v>0</v>
      </c>
      <c r="E39" s="333">
        <f>((B39+C39+D39)/3)*(1+Parâmetros!E21)</f>
        <v>0</v>
      </c>
      <c r="F39" s="333">
        <f>((C39+D39+E39)/3)*(1+Parâmetros!F21)</f>
        <v>0</v>
      </c>
      <c r="G39" s="333">
        <f>((D39+E39+F39)/3)*(1+Parâmetros!G21)</f>
        <v>0</v>
      </c>
      <c r="H39" s="297"/>
      <c r="I39" s="297"/>
    </row>
    <row r="40" spans="1:9" ht="26.25" thickBot="1">
      <c r="A40" s="346" t="s">
        <v>558</v>
      </c>
      <c r="B40" s="345">
        <v>0</v>
      </c>
      <c r="C40" s="345">
        <v>0</v>
      </c>
      <c r="D40" s="345">
        <v>0</v>
      </c>
      <c r="E40" s="333">
        <f>((B40+C40+D40)/3)*(1+Parâmetros!E21)</f>
        <v>0</v>
      </c>
      <c r="F40" s="333">
        <f>((C40+D40+E40)/3)*(1+Parâmetros!F21)</f>
        <v>0</v>
      </c>
      <c r="G40" s="333">
        <f>((D40+E40+F40)/3)*(1+Parâmetros!G21)</f>
        <v>0</v>
      </c>
      <c r="H40" s="297"/>
      <c r="I40" s="297"/>
    </row>
    <row r="41" spans="1:9" ht="26.25" thickBot="1">
      <c r="A41" s="346" t="s">
        <v>559</v>
      </c>
      <c r="B41" s="345">
        <v>0</v>
      </c>
      <c r="C41" s="345">
        <v>0</v>
      </c>
      <c r="D41" s="345">
        <v>0</v>
      </c>
      <c r="E41" s="333">
        <f>((B41+C41+D41)/3)*(1+Parâmetros!E21)</f>
        <v>0</v>
      </c>
      <c r="F41" s="333">
        <f>((C41+D41+E41)/3)*(1+Parâmetros!F21)</f>
        <v>0</v>
      </c>
      <c r="G41" s="333">
        <f>((D41+E41+F41)/3)*(1+Parâmetros!G21)</f>
        <v>0</v>
      </c>
      <c r="H41" s="297"/>
      <c r="I41" s="297"/>
    </row>
    <row r="42" spans="1:9" ht="26.25" thickBot="1">
      <c r="A42" s="346" t="s">
        <v>560</v>
      </c>
      <c r="B42" s="345">
        <v>0</v>
      </c>
      <c r="C42" s="345">
        <v>0</v>
      </c>
      <c r="D42" s="345">
        <v>0</v>
      </c>
      <c r="E42" s="333">
        <f>((B42+C42+D42)/3)*(1+Parâmetros!E21)</f>
        <v>0</v>
      </c>
      <c r="F42" s="333">
        <f>((C42+D42+E42)/3)*(1+Parâmetros!F21)</f>
        <v>0</v>
      </c>
      <c r="G42" s="333">
        <f>((D42+E42+F42)/3)*(1+Parâmetros!G21)</f>
        <v>0</v>
      </c>
      <c r="H42" s="297"/>
      <c r="I42" s="297"/>
    </row>
    <row r="43" spans="1:9" ht="26.25" thickBot="1">
      <c r="A43" s="346" t="s">
        <v>561</v>
      </c>
      <c r="B43" s="345">
        <v>0</v>
      </c>
      <c r="C43" s="345">
        <v>0</v>
      </c>
      <c r="D43" s="345">
        <v>0</v>
      </c>
      <c r="E43" s="333">
        <f>((B43+C43+D43)/3)*(1+Parâmetros!E21)</f>
        <v>0</v>
      </c>
      <c r="F43" s="333">
        <f>((C43+D43+E43)/3)*(1+Parâmetros!F21)</f>
        <v>0</v>
      </c>
      <c r="G43" s="333">
        <f>((D43+E43+F43)/3)*(1+Parâmetros!G21)</f>
        <v>0</v>
      </c>
      <c r="H43" s="297"/>
      <c r="I43" s="297"/>
    </row>
    <row r="44" spans="1:9" ht="26.25" thickBot="1">
      <c r="A44" s="346" t="s">
        <v>562</v>
      </c>
      <c r="B44" s="345">
        <v>0</v>
      </c>
      <c r="C44" s="345">
        <v>0</v>
      </c>
      <c r="D44" s="345">
        <v>0</v>
      </c>
      <c r="E44" s="333">
        <f>((B44+C44+D44)/3)*(1+Parâmetros!E21)</f>
        <v>0</v>
      </c>
      <c r="F44" s="333">
        <f>((C44+D44+E44)/3)*(1+Parâmetros!F21)</f>
        <v>0</v>
      </c>
      <c r="G44" s="333">
        <f>((D44+E44+F44)/3)*(1+Parâmetros!G21)</f>
        <v>0</v>
      </c>
      <c r="H44" s="297"/>
      <c r="I44" s="297"/>
    </row>
    <row r="45" spans="1:9" ht="26.25" thickBot="1">
      <c r="A45" s="346" t="s">
        <v>563</v>
      </c>
      <c r="B45" s="345">
        <v>0</v>
      </c>
      <c r="C45" s="345">
        <v>0</v>
      </c>
      <c r="D45" s="345">
        <v>0</v>
      </c>
      <c r="E45" s="333">
        <f>((B45+C45+D45)/3)*(1+Parâmetros!E21)</f>
        <v>0</v>
      </c>
      <c r="F45" s="333">
        <f>((C45+D45+E45)/3)*(1+Parâmetros!F21)</f>
        <v>0</v>
      </c>
      <c r="G45" s="333">
        <f>((D45+E45+F45)/3)*(1+Parâmetros!G21)</f>
        <v>0</v>
      </c>
      <c r="H45" s="297"/>
      <c r="I45" s="297"/>
    </row>
    <row r="46" spans="1:9" ht="26.25" thickBot="1">
      <c r="A46" s="346" t="s">
        <v>564</v>
      </c>
      <c r="B46" s="345">
        <v>0</v>
      </c>
      <c r="C46" s="345">
        <v>0</v>
      </c>
      <c r="D46" s="345">
        <v>0</v>
      </c>
      <c r="E46" s="333">
        <f>((B46+C46+D46)/3)*(1+Parâmetros!E21)</f>
        <v>0</v>
      </c>
      <c r="F46" s="333">
        <f>((C46+D46+E46)/3)*(1+Parâmetros!F21)</f>
        <v>0</v>
      </c>
      <c r="G46" s="333">
        <f>((D46+E46+F46)/3)*(1+Parâmetros!G21)</f>
        <v>0</v>
      </c>
      <c r="H46" s="297"/>
      <c r="I46" s="297"/>
    </row>
    <row r="47" spans="1:9" ht="26.25" thickBot="1">
      <c r="A47" s="346" t="s">
        <v>565</v>
      </c>
      <c r="B47" s="345">
        <v>0</v>
      </c>
      <c r="C47" s="345">
        <v>0</v>
      </c>
      <c r="D47" s="345">
        <v>0</v>
      </c>
      <c r="E47" s="333">
        <f>((B47+C47+D47)/3)*(1+Parâmetros!E21)</f>
        <v>0</v>
      </c>
      <c r="F47" s="333">
        <f>((C47+D47+E47)/3)*(1+Parâmetros!F21)</f>
        <v>0</v>
      </c>
      <c r="G47" s="333">
        <f>((D47+E47+F47)/3)*(1+Parâmetros!G21)</f>
        <v>0</v>
      </c>
      <c r="H47" s="297"/>
      <c r="I47" s="297"/>
    </row>
    <row r="48" spans="1:9" ht="26.25" thickBot="1">
      <c r="A48" s="346" t="s">
        <v>566</v>
      </c>
      <c r="B48" s="345">
        <v>0</v>
      </c>
      <c r="C48" s="345">
        <v>0</v>
      </c>
      <c r="D48" s="345">
        <v>0</v>
      </c>
      <c r="E48" s="333">
        <f>((B48+C48+D48)/3)*(1+Parâmetros!E21)</f>
        <v>0</v>
      </c>
      <c r="F48" s="333">
        <f>((C48+D48+E48)/3)*(1+Parâmetros!F21)</f>
        <v>0</v>
      </c>
      <c r="G48" s="333">
        <f>((D48+E48+F48)/3)*(1+Parâmetros!G21)</f>
        <v>0</v>
      </c>
      <c r="H48" s="297"/>
      <c r="I48" s="297"/>
    </row>
    <row r="49" spans="1:9" ht="26.25" thickBot="1">
      <c r="A49" s="346" t="s">
        <v>567</v>
      </c>
      <c r="B49" s="345">
        <v>0</v>
      </c>
      <c r="C49" s="345">
        <v>0</v>
      </c>
      <c r="D49" s="345">
        <v>0</v>
      </c>
      <c r="E49" s="333">
        <f>((B49+C49+D49)/3)*(1+Parâmetros!E21)</f>
        <v>0</v>
      </c>
      <c r="F49" s="333">
        <f>((C49+D49+E49)/3)*(1+Parâmetros!F21)</f>
        <v>0</v>
      </c>
      <c r="G49" s="333">
        <f>((D49+E49+F49)/3)*(1+Parâmetros!G21)</f>
        <v>0</v>
      </c>
      <c r="H49" s="297"/>
      <c r="I49" s="297"/>
    </row>
    <row r="50" spans="1:9" ht="26.25" thickBot="1">
      <c r="A50" s="346" t="s">
        <v>568</v>
      </c>
      <c r="B50" s="345">
        <v>0</v>
      </c>
      <c r="C50" s="345">
        <v>0</v>
      </c>
      <c r="D50" s="345">
        <v>0</v>
      </c>
      <c r="E50" s="333">
        <f>((B50+C50+D50)/3)*(1+Parâmetros!E21)</f>
        <v>0</v>
      </c>
      <c r="F50" s="333">
        <f>((C50+D50+E50)/3)*(1+Parâmetros!F21)</f>
        <v>0</v>
      </c>
      <c r="G50" s="333">
        <f>((D50+E50+F50)/3)*(1+Parâmetros!G21)</f>
        <v>0</v>
      </c>
      <c r="H50" s="297"/>
      <c r="I50" s="297"/>
    </row>
    <row r="51" spans="1:9" ht="26.25" thickBot="1">
      <c r="A51" s="346" t="s">
        <v>569</v>
      </c>
      <c r="B51" s="345">
        <v>0</v>
      </c>
      <c r="C51" s="345">
        <v>0</v>
      </c>
      <c r="D51" s="345">
        <v>0</v>
      </c>
      <c r="E51" s="333">
        <f>((B51+C51+D51)/3)*(1+Parâmetros!E21)</f>
        <v>0</v>
      </c>
      <c r="F51" s="333">
        <f>((C51+D51+E51)/3)*(1+Parâmetros!F21)</f>
        <v>0</v>
      </c>
      <c r="G51" s="333">
        <f>((D51+E51+F51)/3)*(1+Parâmetros!G21)</f>
        <v>0</v>
      </c>
      <c r="H51" s="297"/>
      <c r="I51" s="297"/>
    </row>
    <row r="52" spans="1:9" ht="26.25" thickBot="1">
      <c r="A52" s="346" t="s">
        <v>570</v>
      </c>
      <c r="B52" s="345">
        <v>3182304.42</v>
      </c>
      <c r="C52" s="345">
        <v>2281397.46</v>
      </c>
      <c r="D52" s="345">
        <v>0</v>
      </c>
      <c r="E52" s="333">
        <f>((B52+C52+D52)/3)*(1+Parâmetros!E21)</f>
        <v>1954366.1624759999</v>
      </c>
      <c r="F52" s="333">
        <f>((C52+D52+E52)/3)*(1+Parâmetros!F21)</f>
        <v>1526145.633178103</v>
      </c>
      <c r="G52" s="333">
        <f>((D52+E52+F52)/3)*(1+Parâmetros!G21)</f>
        <v>1253912.3829143182</v>
      </c>
      <c r="H52" s="297"/>
      <c r="I52" s="297"/>
    </row>
    <row r="53" spans="1:9" ht="26.25" thickBot="1">
      <c r="A53" s="346" t="s">
        <v>571</v>
      </c>
      <c r="B53" s="345">
        <v>0</v>
      </c>
      <c r="C53" s="345">
        <v>0</v>
      </c>
      <c r="D53" s="345">
        <v>0</v>
      </c>
      <c r="E53" s="333">
        <f>((B53+C53+D53)/3)*(1+Parâmetros!E21)</f>
        <v>0</v>
      </c>
      <c r="F53" s="333">
        <f>((C53+D53+E53)/3)*(1+Parâmetros!F21)</f>
        <v>0</v>
      </c>
      <c r="G53" s="333">
        <f>((D53+E53+F53)/3)*(1+Parâmetros!G21)</f>
        <v>0</v>
      </c>
      <c r="H53" s="297"/>
      <c r="I53" s="297"/>
    </row>
    <row r="54" spans="1:9" ht="26.25" thickBot="1">
      <c r="A54" s="346" t="s">
        <v>572</v>
      </c>
      <c r="B54" s="345">
        <v>0</v>
      </c>
      <c r="C54" s="345">
        <v>0</v>
      </c>
      <c r="D54" s="345">
        <v>0</v>
      </c>
      <c r="E54" s="333">
        <f>((B54+C54+D54)/3)*(1+Parâmetros!E21)</f>
        <v>0</v>
      </c>
      <c r="F54" s="333">
        <f>((C54+D54+E54)/3)*(1+Parâmetros!F21)</f>
        <v>0</v>
      </c>
      <c r="G54" s="333">
        <f>((D54+E54+F54)/3)*(1+Parâmetros!G21)</f>
        <v>0</v>
      </c>
      <c r="H54" s="297"/>
      <c r="I54" s="297"/>
    </row>
    <row r="55" spans="1:9" ht="25.5">
      <c r="A55" s="347" t="s">
        <v>573</v>
      </c>
      <c r="B55" s="345">
        <v>0</v>
      </c>
      <c r="C55" s="345">
        <v>0</v>
      </c>
      <c r="D55" s="345">
        <v>0</v>
      </c>
      <c r="E55" s="333">
        <f>((B55+C55+D55)/3)*(1+Parâmetros!E21)</f>
        <v>0</v>
      </c>
      <c r="F55" s="333">
        <f>((C55+D55+E55)/3)*(1+Parâmetros!F21)</f>
        <v>0</v>
      </c>
      <c r="G55" s="333">
        <f>((D55+E55+F55)/3)*(1+Parâmetros!G21)</f>
        <v>0</v>
      </c>
      <c r="H55" s="297"/>
      <c r="I55" s="297"/>
    </row>
    <row r="56" spans="1:9">
      <c r="A56" s="348" t="s">
        <v>574</v>
      </c>
      <c r="B56" s="349">
        <f t="shared" ref="B56:G56" si="7">SUM(B39:B55)</f>
        <v>3182304.42</v>
      </c>
      <c r="C56" s="349">
        <f t="shared" si="7"/>
        <v>2281397.46</v>
      </c>
      <c r="D56" s="349">
        <f t="shared" si="7"/>
        <v>0</v>
      </c>
      <c r="E56" s="349">
        <f t="shared" si="7"/>
        <v>1954366.1624759999</v>
      </c>
      <c r="F56" s="349">
        <f t="shared" si="7"/>
        <v>1526145.633178103</v>
      </c>
      <c r="G56" s="349">
        <f t="shared" si="7"/>
        <v>1253912.3829143182</v>
      </c>
      <c r="H56" s="297"/>
      <c r="I56" s="297"/>
    </row>
    <row r="57" spans="1:9">
      <c r="A57" s="166"/>
      <c r="B57" s="340"/>
      <c r="C57" s="341"/>
      <c r="D57" s="166"/>
      <c r="E57" s="166"/>
      <c r="F57" s="166"/>
      <c r="G57" s="166"/>
      <c r="H57" s="297"/>
      <c r="I57" s="297"/>
    </row>
    <row r="58" spans="1:9">
      <c r="A58" s="580" t="s">
        <v>575</v>
      </c>
      <c r="B58" s="328">
        <f>B37</f>
        <v>2016</v>
      </c>
      <c r="C58" s="328">
        <f>B58+1</f>
        <v>2017</v>
      </c>
      <c r="D58" s="328">
        <f>C58+1</f>
        <v>2018</v>
      </c>
      <c r="E58" s="328">
        <f>D58+1</f>
        <v>2019</v>
      </c>
      <c r="F58" s="328">
        <f>E58+1</f>
        <v>2020</v>
      </c>
      <c r="G58" s="328">
        <f>F58+1</f>
        <v>2021</v>
      </c>
      <c r="H58" s="297"/>
      <c r="I58" s="297"/>
    </row>
    <row r="59" spans="1:9" ht="15.75" thickBot="1">
      <c r="A59" s="580"/>
      <c r="B59" s="328" t="s">
        <v>127</v>
      </c>
      <c r="C59" s="328" t="s">
        <v>127</v>
      </c>
      <c r="D59" s="329" t="s">
        <v>127</v>
      </c>
      <c r="E59" s="329" t="s">
        <v>515</v>
      </c>
      <c r="F59" s="329" t="s">
        <v>515</v>
      </c>
      <c r="G59" s="329" t="s">
        <v>515</v>
      </c>
      <c r="H59" s="297"/>
      <c r="I59" s="297"/>
    </row>
    <row r="60" spans="1:9" ht="26.25" thickBot="1">
      <c r="A60" s="350" t="s">
        <v>577</v>
      </c>
      <c r="B60" s="345">
        <v>0</v>
      </c>
      <c r="C60" s="345">
        <v>0</v>
      </c>
      <c r="D60" s="345">
        <v>300000</v>
      </c>
      <c r="E60" s="333">
        <f>((B60+C60+D60)/3)*(1+Parâmetros!E21)</f>
        <v>107310</v>
      </c>
      <c r="F60" s="333">
        <f>((C60+D60+E60)/3)*(1+Parâmetros!F21)</f>
        <v>146753.79300000001</v>
      </c>
      <c r="G60" s="333">
        <f>((D60+E60+F60)/3)*(1+Parâmetros!G21)</f>
        <v>199610.71582480002</v>
      </c>
      <c r="H60" s="297"/>
      <c r="I60" s="297"/>
    </row>
    <row r="61" spans="1:9" ht="26.25" thickBot="1">
      <c r="A61" s="351" t="s">
        <v>578</v>
      </c>
      <c r="B61" s="345">
        <v>0</v>
      </c>
      <c r="C61" s="345">
        <v>0</v>
      </c>
      <c r="D61" s="345">
        <v>0</v>
      </c>
      <c r="E61" s="333">
        <f>((B61+C61+D61)/3)*(1+Parâmetros!E21)</f>
        <v>0</v>
      </c>
      <c r="F61" s="333">
        <f>((C61+D61+E61)/3)*(1+Parâmetros!F21)</f>
        <v>0</v>
      </c>
      <c r="G61" s="333">
        <f>((D61+E61+F61)/3)*(1+Parâmetros!G21)</f>
        <v>0</v>
      </c>
      <c r="H61" s="297"/>
      <c r="I61" s="297"/>
    </row>
    <row r="62" spans="1:9" ht="26.25" thickBot="1">
      <c r="A62" s="351" t="s">
        <v>579</v>
      </c>
      <c r="B62" s="345">
        <v>0</v>
      </c>
      <c r="C62" s="345">
        <v>0</v>
      </c>
      <c r="D62" s="345">
        <v>0</v>
      </c>
      <c r="E62" s="333">
        <f>((B62+C62+D62)/3)*(1+Parâmetros!E21)</f>
        <v>0</v>
      </c>
      <c r="F62" s="333">
        <f>((C62+D62+E62)/3)*(1+Parâmetros!F21)</f>
        <v>0</v>
      </c>
      <c r="G62" s="333">
        <f>((D62+E62+F62)/3)*(1+Parâmetros!G21)</f>
        <v>0</v>
      </c>
      <c r="H62" s="297"/>
      <c r="I62" s="297"/>
    </row>
    <row r="63" spans="1:9" ht="26.25" thickBot="1">
      <c r="A63" s="351" t="s">
        <v>580</v>
      </c>
      <c r="B63" s="345">
        <v>0</v>
      </c>
      <c r="C63" s="345">
        <v>0</v>
      </c>
      <c r="D63" s="345">
        <v>0</v>
      </c>
      <c r="E63" s="333">
        <f>((B63+C63+D63)/3)*(1+Parâmetros!E21)</f>
        <v>0</v>
      </c>
      <c r="F63" s="333">
        <f>((C63+D63+E63)/3)*(1+Parâmetros!F21)</f>
        <v>0</v>
      </c>
      <c r="G63" s="333">
        <f>((D63+E63+F63)/3)*(1+Parâmetros!G21)</f>
        <v>0</v>
      </c>
      <c r="H63" s="297"/>
      <c r="I63" s="297"/>
    </row>
    <row r="64" spans="1:9" ht="26.25" thickBot="1">
      <c r="A64" s="351" t="s">
        <v>581</v>
      </c>
      <c r="B64" s="345">
        <v>0</v>
      </c>
      <c r="C64" s="345">
        <v>0</v>
      </c>
      <c r="D64" s="345">
        <v>0</v>
      </c>
      <c r="E64" s="333">
        <f>((B64+C64+D64)/3)*(1+Parâmetros!E21)</f>
        <v>0</v>
      </c>
      <c r="F64" s="333">
        <f>((C64+D64+E64)/3)*(1+Parâmetros!F21)</f>
        <v>0</v>
      </c>
      <c r="G64" s="333">
        <f>((D64+E64+F64)/3)*(1+Parâmetros!G21)</f>
        <v>0</v>
      </c>
      <c r="H64" s="297"/>
      <c r="I64" s="297"/>
    </row>
    <row r="65" spans="1:9" ht="26.25" thickBot="1">
      <c r="A65" s="351" t="s">
        <v>582</v>
      </c>
      <c r="B65" s="345">
        <v>0</v>
      </c>
      <c r="C65" s="345">
        <v>0</v>
      </c>
      <c r="D65" s="345">
        <v>0</v>
      </c>
      <c r="E65" s="333">
        <f>((B65+C65+D65)/3)*(1+Parâmetros!E21)</f>
        <v>0</v>
      </c>
      <c r="F65" s="333">
        <f>((C65+D65+E65)/3)*(1+Parâmetros!F21)</f>
        <v>0</v>
      </c>
      <c r="G65" s="333">
        <f>((D65+E65+F65)/3)*(1+Parâmetros!G21)</f>
        <v>0</v>
      </c>
      <c r="H65" s="297"/>
      <c r="I65" s="297"/>
    </row>
    <row r="66" spans="1:9" ht="26.25" thickBot="1">
      <c r="A66" s="351" t="s">
        <v>583</v>
      </c>
      <c r="B66" s="345">
        <v>0</v>
      </c>
      <c r="C66" s="345">
        <v>0</v>
      </c>
      <c r="D66" s="345">
        <v>0</v>
      </c>
      <c r="E66" s="333">
        <f>((B66+C66+D66)/3)*(1+Parâmetros!E21)</f>
        <v>0</v>
      </c>
      <c r="F66" s="333">
        <f>((C66+D66+E66)/3)*(1+Parâmetros!F21)</f>
        <v>0</v>
      </c>
      <c r="G66" s="333">
        <f>((D66+E66+F66)/3)*(1+Parâmetros!G21)</f>
        <v>0</v>
      </c>
      <c r="H66" s="297"/>
      <c r="I66" s="297"/>
    </row>
    <row r="67" spans="1:9" ht="26.25" thickBot="1">
      <c r="A67" s="351" t="s">
        <v>584</v>
      </c>
      <c r="B67" s="345">
        <v>0</v>
      </c>
      <c r="C67" s="345">
        <v>0</v>
      </c>
      <c r="D67" s="345">
        <v>0</v>
      </c>
      <c r="E67" s="333">
        <f>((B67+C67+D67)/3)*(1+Parâmetros!E21)</f>
        <v>0</v>
      </c>
      <c r="F67" s="333">
        <f>((C67+D67+E67)/3)*(1+Parâmetros!F21)</f>
        <v>0</v>
      </c>
      <c r="G67" s="333">
        <f>((D67+E67+F67)/3)*(1+Parâmetros!G21)</f>
        <v>0</v>
      </c>
      <c r="H67" s="297"/>
      <c r="I67" s="297"/>
    </row>
    <row r="68" spans="1:9" ht="26.25" thickBot="1">
      <c r="A68" s="351" t="s">
        <v>585</v>
      </c>
      <c r="B68" s="345">
        <v>0</v>
      </c>
      <c r="C68" s="345">
        <v>0</v>
      </c>
      <c r="D68" s="345">
        <v>0</v>
      </c>
      <c r="E68" s="333">
        <f>((B68+C68+D68)/3)*(1+Parâmetros!E21)</f>
        <v>0</v>
      </c>
      <c r="F68" s="333">
        <f>((C68+D68+E68)/3)*(1+Parâmetros!F21)</f>
        <v>0</v>
      </c>
      <c r="G68" s="333">
        <f>((D68+E68+F68)/3)*(1+Parâmetros!G21)</f>
        <v>0</v>
      </c>
      <c r="H68" s="297"/>
      <c r="I68" s="297"/>
    </row>
    <row r="69" spans="1:9" ht="26.25" thickBot="1">
      <c r="A69" s="351" t="s">
        <v>586</v>
      </c>
      <c r="B69" s="345">
        <v>0</v>
      </c>
      <c r="C69" s="345">
        <v>0</v>
      </c>
      <c r="D69" s="345">
        <v>0</v>
      </c>
      <c r="E69" s="333">
        <f>((B69+C69+D69)/3)*(1+Parâmetros!E21)</f>
        <v>0</v>
      </c>
      <c r="F69" s="333">
        <f>((C69+D69+E69)/3)*(1+Parâmetros!F21)</f>
        <v>0</v>
      </c>
      <c r="G69" s="333">
        <f>((D69+E69+F69)/3)*(1+Parâmetros!G21)</f>
        <v>0</v>
      </c>
      <c r="H69" s="297"/>
      <c r="I69" s="297"/>
    </row>
    <row r="70" spans="1:9" ht="26.25" thickBot="1">
      <c r="A70" s="351" t="s">
        <v>587</v>
      </c>
      <c r="B70" s="345">
        <v>0</v>
      </c>
      <c r="C70" s="345">
        <v>0</v>
      </c>
      <c r="D70" s="345">
        <v>0</v>
      </c>
      <c r="E70" s="333">
        <f>((B70+C70+D70)/3)*(1+Parâmetros!E21)</f>
        <v>0</v>
      </c>
      <c r="F70" s="333">
        <f>((C70+D70+E70)/3)*(1+Parâmetros!F21)</f>
        <v>0</v>
      </c>
      <c r="G70" s="333">
        <f>((D70+E70+F70)/3)*(1+Parâmetros!G21)</f>
        <v>0</v>
      </c>
      <c r="H70" s="297"/>
      <c r="I70" s="297"/>
    </row>
    <row r="71" spans="1:9" ht="26.25" thickBot="1">
      <c r="A71" s="351" t="s">
        <v>588</v>
      </c>
      <c r="B71" s="345">
        <v>0</v>
      </c>
      <c r="C71" s="345">
        <v>0</v>
      </c>
      <c r="D71" s="345">
        <v>0</v>
      </c>
      <c r="E71" s="333">
        <f>((B71+C71+D71)/3)*(1+Parâmetros!E21)</f>
        <v>0</v>
      </c>
      <c r="F71" s="333">
        <f>((C71+D71+E71)/3)*(1+Parâmetros!F21)</f>
        <v>0</v>
      </c>
      <c r="G71" s="333">
        <f>((D71+E71+F71)/3)*(1+Parâmetros!G21)</f>
        <v>0</v>
      </c>
      <c r="H71" s="297"/>
      <c r="I71" s="297"/>
    </row>
    <row r="72" spans="1:9" ht="26.25" thickBot="1">
      <c r="A72" s="351" t="s">
        <v>589</v>
      </c>
      <c r="B72" s="345">
        <v>0</v>
      </c>
      <c r="C72" s="345">
        <v>0</v>
      </c>
      <c r="D72" s="345">
        <v>0</v>
      </c>
      <c r="E72" s="333">
        <f>((B72+C72+D72)/3)*(1+Parâmetros!E21)</f>
        <v>0</v>
      </c>
      <c r="F72" s="333">
        <f>((C72+D72+E72)/3)*(1+Parâmetros!F21)</f>
        <v>0</v>
      </c>
      <c r="G72" s="333">
        <f>((D72+E72+F72)/3)*(1+Parâmetros!G21)</f>
        <v>0</v>
      </c>
      <c r="H72" s="297"/>
      <c r="I72" s="297"/>
    </row>
    <row r="73" spans="1:9" ht="26.25" thickBot="1">
      <c r="A73" s="351" t="s">
        <v>590</v>
      </c>
      <c r="B73" s="345">
        <v>0</v>
      </c>
      <c r="C73" s="345">
        <v>0</v>
      </c>
      <c r="D73" s="345">
        <v>0</v>
      </c>
      <c r="E73" s="333">
        <f>((B73+C73+D73)/3)*(1+Parâmetros!E21)</f>
        <v>0</v>
      </c>
      <c r="F73" s="333">
        <f>((C73+D73+E73)/3)*(1+Parâmetros!F21)</f>
        <v>0</v>
      </c>
      <c r="G73" s="333">
        <f>((D73+E73+F73)/3)*(1+Parâmetros!G21)</f>
        <v>0</v>
      </c>
      <c r="H73" s="297"/>
      <c r="I73" s="297"/>
    </row>
    <row r="74" spans="1:9" ht="26.25" thickBot="1">
      <c r="A74" s="351" t="s">
        <v>591</v>
      </c>
      <c r="B74" s="345">
        <v>0</v>
      </c>
      <c r="C74" s="345">
        <v>0</v>
      </c>
      <c r="D74" s="345">
        <v>0</v>
      </c>
      <c r="E74" s="333">
        <f>((B74+C74+D74)/3)*(1+Parâmetros!E21)</f>
        <v>0</v>
      </c>
      <c r="F74" s="333">
        <f>((C74+D74+E74)/3)*(1+Parâmetros!F21)</f>
        <v>0</v>
      </c>
      <c r="G74" s="333">
        <f>((D74+E74+F74)/3)*(1+Parâmetros!G21)</f>
        <v>0</v>
      </c>
      <c r="H74" s="297"/>
      <c r="I74" s="297"/>
    </row>
    <row r="75" spans="1:9" ht="26.25" thickBot="1">
      <c r="A75" s="351" t="s">
        <v>592</v>
      </c>
      <c r="B75" s="345">
        <v>887672.92</v>
      </c>
      <c r="C75" s="345">
        <v>2138437.54</v>
      </c>
      <c r="D75" s="345">
        <v>0</v>
      </c>
      <c r="E75" s="333">
        <f>((B75+C75+D75)/3)*(1+Parâmetros!E21)</f>
        <v>1082439.7115420001</v>
      </c>
      <c r="F75" s="333">
        <f>((C75+D75+E75)/3)*(1+Parâmetros!F21)</f>
        <v>1160482.0737305826</v>
      </c>
      <c r="G75" s="333">
        <f>((D75+E75+F75)/3)*(1+Parâmetros!G21)</f>
        <v>808049.95517420245</v>
      </c>
      <c r="H75" s="297"/>
      <c r="I75" s="297"/>
    </row>
    <row r="76" spans="1:9" ht="26.25" thickBot="1">
      <c r="A76" s="351" t="s">
        <v>593</v>
      </c>
      <c r="B76" s="345">
        <v>0</v>
      </c>
      <c r="C76" s="345">
        <v>0</v>
      </c>
      <c r="D76" s="345">
        <v>0</v>
      </c>
      <c r="E76" s="333">
        <f>((B76+C76+D76)/3)*(1+Parâmetros!E21)</f>
        <v>0</v>
      </c>
      <c r="F76" s="333">
        <f>((C76+D76+E76)/3)*(1+Parâmetros!F21)</f>
        <v>0</v>
      </c>
      <c r="G76" s="333">
        <f>((D76+E76+F76)/3)*(1+Parâmetros!G21)</f>
        <v>0</v>
      </c>
      <c r="H76" s="297"/>
      <c r="I76" s="297"/>
    </row>
    <row r="77" spans="1:9">
      <c r="A77" s="348" t="s">
        <v>576</v>
      </c>
      <c r="B77" s="349">
        <f t="shared" ref="B77:G77" si="8">SUM(B60:B76)</f>
        <v>887672.92</v>
      </c>
      <c r="C77" s="349">
        <f t="shared" si="8"/>
        <v>2138437.54</v>
      </c>
      <c r="D77" s="349">
        <f t="shared" si="8"/>
        <v>300000</v>
      </c>
      <c r="E77" s="349">
        <f t="shared" si="8"/>
        <v>1189749.7115420001</v>
      </c>
      <c r="F77" s="349">
        <f t="shared" si="8"/>
        <v>1307235.8667305827</v>
      </c>
      <c r="G77" s="349">
        <f t="shared" si="8"/>
        <v>1007660.6709990024</v>
      </c>
      <c r="H77" s="297"/>
      <c r="I77" s="297"/>
    </row>
    <row r="78" spans="1:9">
      <c r="A78" s="166"/>
      <c r="B78" s="340"/>
      <c r="C78" s="341"/>
      <c r="D78" s="166"/>
      <c r="E78" s="166"/>
      <c r="F78" s="166"/>
      <c r="G78" s="166"/>
      <c r="H78" s="297"/>
      <c r="I78" s="297"/>
    </row>
    <row r="79" spans="1:9">
      <c r="A79" s="292" t="s">
        <v>594</v>
      </c>
      <c r="B79" s="343">
        <f t="shared" ref="B79:G79" si="9">B35+B56-B77</f>
        <v>880196.44400002051</v>
      </c>
      <c r="C79" s="343">
        <f t="shared" si="9"/>
        <v>1954150.2000000309</v>
      </c>
      <c r="D79" s="343">
        <f t="shared" si="9"/>
        <v>-8504240</v>
      </c>
      <c r="E79" s="343">
        <f t="shared" si="9"/>
        <v>-14459173.112295367</v>
      </c>
      <c r="F79" s="343">
        <f t="shared" si="9"/>
        <v>-18015778.817815669</v>
      </c>
      <c r="G79" s="343">
        <f t="shared" si="9"/>
        <v>-23310520.280724924</v>
      </c>
      <c r="H79" s="297"/>
      <c r="I79" s="297"/>
    </row>
  </sheetData>
  <mergeCells count="7">
    <mergeCell ref="A58:A59"/>
    <mergeCell ref="A1:I1"/>
    <mergeCell ref="A2:I2"/>
    <mergeCell ref="A3:I3"/>
    <mergeCell ref="A5:A6"/>
    <mergeCell ref="A21:A22"/>
    <mergeCell ref="A37:A38"/>
  </mergeCells>
  <phoneticPr fontId="31" type="noConversion"/>
  <pageMargins left="0.511811024" right="0.511811024" top="0.78740157499999996" bottom="0.78740157499999996" header="0.31496062000000002" footer="0.31496062000000002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11"/>
  <dimension ref="A1:M80"/>
  <sheetViews>
    <sheetView view="pageBreakPreview" zoomScaleNormal="80" zoomScaleSheetLayoutView="100" workbookViewId="0">
      <selection activeCell="O25" sqref="O25"/>
    </sheetView>
  </sheetViews>
  <sheetFormatPr defaultRowHeight="12.75"/>
  <cols>
    <col min="1" max="1" width="36.140625" style="73" customWidth="1"/>
    <col min="2" max="2" width="15" style="73" customWidth="1"/>
    <col min="3" max="3" width="14.140625" style="73" customWidth="1"/>
    <col min="4" max="4" width="7.28515625" style="73" customWidth="1"/>
    <col min="5" max="5" width="9.7109375" style="73" customWidth="1"/>
    <col min="6" max="6" width="15.42578125" style="73" customWidth="1"/>
    <col min="7" max="7" width="15.28515625" style="73" customWidth="1"/>
    <col min="8" max="8" width="7.28515625" style="73" customWidth="1"/>
    <col min="9" max="9" width="8.5703125" style="73" customWidth="1"/>
    <col min="10" max="10" width="14.5703125" style="73" customWidth="1"/>
    <col min="11" max="11" width="14.85546875" style="73" customWidth="1"/>
    <col min="12" max="12" width="5.28515625" style="73" customWidth="1"/>
    <col min="13" max="13" width="8.7109375" style="73" customWidth="1"/>
    <col min="14" max="16384" width="9.140625" style="73"/>
  </cols>
  <sheetData>
    <row r="1" spans="1:13">
      <c r="A1" s="601" t="str">
        <f>Parâmetros!A7</f>
        <v>Município de : PORTÃO/RS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3"/>
    </row>
    <row r="2" spans="1:13" s="11" customFormat="1">
      <c r="A2" s="604" t="s">
        <v>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3"/>
    </row>
    <row r="3" spans="1:13">
      <c r="A3" s="604" t="s">
        <v>485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3"/>
    </row>
    <row r="4" spans="1:13">
      <c r="A4" s="605" t="s">
        <v>486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7"/>
    </row>
    <row r="5" spans="1:13" s="11" customFormat="1" ht="17.25" customHeight="1">
      <c r="A5" s="604" t="s">
        <v>598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3"/>
    </row>
    <row r="6" spans="1:13">
      <c r="A6" s="611" t="s">
        <v>499</v>
      </c>
      <c r="B6" s="612"/>
      <c r="C6" s="612"/>
      <c r="D6" s="613"/>
      <c r="E6" s="167"/>
      <c r="F6" s="614"/>
      <c r="G6" s="614"/>
      <c r="H6" s="614"/>
      <c r="I6" s="167"/>
      <c r="J6" s="588">
        <v>1</v>
      </c>
      <c r="K6" s="589"/>
      <c r="L6" s="589"/>
      <c r="M6" s="589"/>
    </row>
    <row r="7" spans="1:13" s="12" customFormat="1">
      <c r="A7" s="591" t="s">
        <v>56</v>
      </c>
      <c r="B7" s="592">
        <f>Parâmetros!E10</f>
        <v>2019</v>
      </c>
      <c r="C7" s="593"/>
      <c r="D7" s="593"/>
      <c r="E7" s="594"/>
      <c r="F7" s="608">
        <f>B7+1</f>
        <v>2020</v>
      </c>
      <c r="G7" s="609"/>
      <c r="H7" s="609"/>
      <c r="I7" s="610"/>
      <c r="J7" s="591">
        <f>F7+1</f>
        <v>2021</v>
      </c>
      <c r="K7" s="591"/>
      <c r="L7" s="591"/>
      <c r="M7" s="591"/>
    </row>
    <row r="8" spans="1:13" ht="15.75" customHeight="1">
      <c r="A8" s="591"/>
      <c r="B8" s="595" t="s">
        <v>388</v>
      </c>
      <c r="C8" s="598" t="s">
        <v>500</v>
      </c>
      <c r="D8" s="168" t="s">
        <v>58</v>
      </c>
      <c r="E8" s="168" t="s">
        <v>389</v>
      </c>
      <c r="F8" s="595" t="s">
        <v>501</v>
      </c>
      <c r="G8" s="598" t="s">
        <v>502</v>
      </c>
      <c r="H8" s="168" t="s">
        <v>58</v>
      </c>
      <c r="I8" s="168" t="s">
        <v>389</v>
      </c>
      <c r="J8" s="595" t="s">
        <v>503</v>
      </c>
      <c r="K8" s="595" t="s">
        <v>502</v>
      </c>
      <c r="L8" s="169" t="s">
        <v>58</v>
      </c>
      <c r="M8" s="168" t="s">
        <v>389</v>
      </c>
    </row>
    <row r="9" spans="1:13" s="11" customFormat="1" ht="15.75" customHeight="1">
      <c r="A9" s="591"/>
      <c r="B9" s="596"/>
      <c r="C9" s="599"/>
      <c r="D9" s="168" t="s">
        <v>61</v>
      </c>
      <c r="E9" s="168" t="s">
        <v>390</v>
      </c>
      <c r="F9" s="596"/>
      <c r="G9" s="599"/>
      <c r="H9" s="168" t="s">
        <v>62</v>
      </c>
      <c r="I9" s="168" t="s">
        <v>408</v>
      </c>
      <c r="J9" s="596"/>
      <c r="K9" s="596"/>
      <c r="L9" s="169" t="s">
        <v>63</v>
      </c>
      <c r="M9" s="168" t="s">
        <v>409</v>
      </c>
    </row>
    <row r="10" spans="1:13" s="11" customFormat="1" ht="15.75" customHeight="1">
      <c r="A10" s="591"/>
      <c r="B10" s="597"/>
      <c r="C10" s="600"/>
      <c r="D10" s="168" t="s">
        <v>65</v>
      </c>
      <c r="E10" s="168" t="s">
        <v>65</v>
      </c>
      <c r="F10" s="597"/>
      <c r="G10" s="600"/>
      <c r="H10" s="168" t="s">
        <v>65</v>
      </c>
      <c r="I10" s="168" t="s">
        <v>65</v>
      </c>
      <c r="J10" s="597"/>
      <c r="K10" s="597"/>
      <c r="L10" s="169" t="s">
        <v>65</v>
      </c>
      <c r="M10" s="168" t="s">
        <v>65</v>
      </c>
    </row>
    <row r="11" spans="1:13" s="11" customFormat="1">
      <c r="A11" s="170" t="s">
        <v>68</v>
      </c>
      <c r="B11" s="171">
        <f>'RPrim-Nom'!E7+'RPrim-Nom'!E13</f>
        <v>85289822.268859223</v>
      </c>
      <c r="C11" s="171">
        <f>B11/(1+Parâmetros!E11)</f>
        <v>81954282.952684954</v>
      </c>
      <c r="D11" s="585" t="s">
        <v>627</v>
      </c>
      <c r="E11" s="172">
        <f>B11/RCL!D14</f>
        <v>1.173818285179226</v>
      </c>
      <c r="F11" s="171">
        <f>'RPrim-Nom'!F7+'RPrim-Nom'!F13</f>
        <v>88051638.239718631</v>
      </c>
      <c r="G11" s="171">
        <f>F11/((1+Parâmetros!E11)*(1+Parâmetros!F11))</f>
        <v>81338289.768061355</v>
      </c>
      <c r="H11" s="585" t="s">
        <v>627</v>
      </c>
      <c r="I11" s="172">
        <f>F11/RCL!E14</f>
        <v>1.1809943572833033</v>
      </c>
      <c r="J11" s="171">
        <f>'RPrim-Nom'!G7+'RPrim-Nom'!G13</f>
        <v>91770453.304013416</v>
      </c>
      <c r="K11" s="171">
        <f>J11/((1+Parâmetros!E11)*(1+Parâmetros!F11)*(1+Parâmetros!G11))</f>
        <v>81560102.037186608</v>
      </c>
      <c r="L11" s="585" t="s">
        <v>627</v>
      </c>
      <c r="M11" s="172">
        <f>J11/RCL!F14</f>
        <v>1.187220134806988</v>
      </c>
    </row>
    <row r="12" spans="1:13" s="11" customFormat="1">
      <c r="A12" s="170" t="s">
        <v>121</v>
      </c>
      <c r="B12" s="171">
        <f>'RPrim-Nom'!E19</f>
        <v>77382606.481257617</v>
      </c>
      <c r="C12" s="171">
        <f>B12/(1+Parâmetros!E11)</f>
        <v>74356304.872929394</v>
      </c>
      <c r="D12" s="586"/>
      <c r="E12" s="172">
        <f>B12/RCL!D14</f>
        <v>1.0649936419869104</v>
      </c>
      <c r="F12" s="171">
        <f>'RPrim-Nom'!F19</f>
        <v>79606823.025935441</v>
      </c>
      <c r="G12" s="171">
        <f>F12/((1+Parâmetros!E11)*(1+Parâmetros!F11))</f>
        <v>73537335.230152637</v>
      </c>
      <c r="H12" s="586"/>
      <c r="I12" s="172">
        <f>F12/RCL!E14</f>
        <v>1.0677281044893903</v>
      </c>
      <c r="J12" s="171">
        <f>'RPrim-Nom'!G19</f>
        <v>82761905.030811712</v>
      </c>
      <c r="K12" s="171">
        <f>J12/((1+Parâmetros!E11)*(1+Parâmetros!F11)*(1+Parâmetros!G11))</f>
        <v>73553841.96200487</v>
      </c>
      <c r="L12" s="586"/>
      <c r="M12" s="172">
        <f>J12/RCL!F14</f>
        <v>1.0706779416471113</v>
      </c>
    </row>
    <row r="13" spans="1:13" s="11" customFormat="1">
      <c r="A13" s="170" t="s">
        <v>69</v>
      </c>
      <c r="B13" s="171">
        <f>'RPrim-Nom'!E23+'RPrim-Nom'!E27</f>
        <v>95254389.862251192</v>
      </c>
      <c r="C13" s="171">
        <f>B13/(1+Parâmetros!E11)</f>
        <v>91529153.322044</v>
      </c>
      <c r="D13" s="586"/>
      <c r="E13" s="172">
        <f>B13/RCL!D14</f>
        <v>1.310957645232723</v>
      </c>
      <c r="F13" s="171">
        <f>'RPrim-Nom'!F23+'RPrim-Nom'!F27</f>
        <v>100604152.12157348</v>
      </c>
      <c r="G13" s="171">
        <f>F13/((1+Parâmetros!E11)*(1+Parâmetros!F11))</f>
        <v>92933758.425444782</v>
      </c>
      <c r="H13" s="586"/>
      <c r="I13" s="172">
        <f>F13/RCL!E14</f>
        <v>1.3493552005402074</v>
      </c>
      <c r="J13" s="171">
        <f>'RPrim-Nom'!G23+'RPrim-Nom'!G27</f>
        <v>109199178.47010462</v>
      </c>
      <c r="K13" s="171">
        <f>J13/((1+Parâmetros!E11)*(1+Parâmetros!F11)*(1+Parâmetros!G11))</f>
        <v>97049712.818724662</v>
      </c>
      <c r="L13" s="586"/>
      <c r="M13" s="172">
        <f>J13/RCL!F14</f>
        <v>1.4126928517462192</v>
      </c>
    </row>
    <row r="14" spans="1:13" s="11" customFormat="1">
      <c r="A14" s="170" t="s">
        <v>122</v>
      </c>
      <c r="B14" s="171">
        <f>'RPrim-Nom'!E33</f>
        <v>92606396.044486985</v>
      </c>
      <c r="C14" s="171">
        <f>B14/(1+Parâmetros!E11)</f>
        <v>88984718.021031022</v>
      </c>
      <c r="D14" s="586"/>
      <c r="E14" s="172">
        <f>B14/RCL!D14</f>
        <v>1.2745140992192843</v>
      </c>
      <c r="F14" s="171">
        <f>'RPrim-Nom'!F33</f>
        <v>97841511.610198632</v>
      </c>
      <c r="G14" s="171">
        <f>F14/((1+Parâmetros!E11)*(1+Parâmetros!F11))</f>
        <v>90381750.774804279</v>
      </c>
      <c r="H14" s="586"/>
      <c r="I14" s="172">
        <f>F14/RCL!E14</f>
        <v>1.3123012294800276</v>
      </c>
      <c r="J14" s="171">
        <f>'RPrim-Nom'!G33</f>
        <v>106318677.02345195</v>
      </c>
      <c r="K14" s="171">
        <f>J14/((1+Parâmetros!E11)*(1+Parâmetros!F11)*(1+Parâmetros!G11))</f>
        <v>94489695.041227415</v>
      </c>
      <c r="L14" s="586"/>
      <c r="M14" s="172">
        <f>J14/RCL!F14</f>
        <v>1.3754282508568918</v>
      </c>
    </row>
    <row r="15" spans="1:13" s="11" customFormat="1">
      <c r="A15" s="170" t="s">
        <v>70</v>
      </c>
      <c r="B15" s="171">
        <f>B12-B14</f>
        <v>-15223789.563229367</v>
      </c>
      <c r="C15" s="171">
        <f>B15/(1+Parâmetros!E11)</f>
        <v>-14628413.148101632</v>
      </c>
      <c r="D15" s="586"/>
      <c r="E15" s="172">
        <f>B15/RCL!D14</f>
        <v>-0.20952045723237395</v>
      </c>
      <c r="F15" s="171">
        <f>F12-F14</f>
        <v>-18234688.584263191</v>
      </c>
      <c r="G15" s="171">
        <f>F15/((1+Parâmetros!E11)*(1+Parâmetros!F11))</f>
        <v>-16844415.544651646</v>
      </c>
      <c r="H15" s="586"/>
      <c r="I15" s="172">
        <f>F15/RCL!E14</f>
        <v>-0.24457312499063741</v>
      </c>
      <c r="J15" s="171">
        <f>J12-J14</f>
        <v>-23556771.992640242</v>
      </c>
      <c r="K15" s="171">
        <f>J15/((1+Parâmetros!E11)*(1+Parâmetros!F11)*(1+Parâmetros!G11))</f>
        <v>-20935853.079222541</v>
      </c>
      <c r="L15" s="586"/>
      <c r="M15" s="172">
        <f>J15/RCL!F14</f>
        <v>-0.30475030920978069</v>
      </c>
    </row>
    <row r="16" spans="1:13" s="11" customFormat="1">
      <c r="A16" s="170" t="s">
        <v>71</v>
      </c>
      <c r="B16" s="171">
        <f>'RPrim-Nom'!E79</f>
        <v>-14459173.112295367</v>
      </c>
      <c r="C16" s="171">
        <f>B16/(1+Parâmetros!E11)</f>
        <v>-13893699.54097758</v>
      </c>
      <c r="D16" s="586"/>
      <c r="E16" s="172">
        <f>B16/RCL!D14</f>
        <v>-0.19899726997064043</v>
      </c>
      <c r="F16" s="171">
        <f>'RPrim-Nom'!F79</f>
        <v>-18015778.817815669</v>
      </c>
      <c r="G16" s="171">
        <f>F16/((1+Parâmetros!E11)*(1+Parâmetros!F11))</f>
        <v>-16642196.183691077</v>
      </c>
      <c r="H16" s="586"/>
      <c r="I16" s="172">
        <f>F16/RCL!E14</f>
        <v>-0.24163699337404121</v>
      </c>
      <c r="J16" s="171">
        <f>'RPrim-Nom'!G79</f>
        <v>-23310520.280724924</v>
      </c>
      <c r="K16" s="171">
        <f>J16/((1+Parâmetros!E11)*(1+Parâmetros!F11)*(1+Parâmetros!G11))</f>
        <v>-20716999.253971066</v>
      </c>
      <c r="L16" s="586"/>
      <c r="M16" s="172">
        <f>J16/RCL!F14</f>
        <v>-0.30156458896877836</v>
      </c>
    </row>
    <row r="17" spans="1:13" s="11" customFormat="1">
      <c r="A17" s="170" t="s">
        <v>72</v>
      </c>
      <c r="B17" s="171">
        <f>Dívida!E7</f>
        <v>1713920.1266666667</v>
      </c>
      <c r="C17" s="171">
        <f>B17/(1+Parâmetros!E11)</f>
        <v>1646891.6370391725</v>
      </c>
      <c r="D17" s="586"/>
      <c r="E17" s="172">
        <f>B17/RCL!D14</f>
        <v>2.3588169496661999E-2</v>
      </c>
      <c r="F17" s="171">
        <f>Dívida!F7</f>
        <v>1629145.1622222224</v>
      </c>
      <c r="G17" s="171">
        <f>F17/((1+Parâmetros!E11)*(1+Parâmetros!F11))</f>
        <v>1504933.7403388883</v>
      </c>
      <c r="H17" s="586"/>
      <c r="I17" s="172">
        <f>F17/RCL!E14</f>
        <v>2.1850942040871044E-2</v>
      </c>
      <c r="J17" s="171">
        <f>Dívida!G7</f>
        <v>1652032.2629629632</v>
      </c>
      <c r="K17" s="171">
        <f>J17/((1+Parâmetros!E11)*(1+Parâmetros!F11)*(1+Parâmetros!G11))</f>
        <v>1468227.6820582182</v>
      </c>
      <c r="L17" s="586"/>
      <c r="M17" s="172">
        <f>J17/RCL!F14</f>
        <v>2.1372085407957851E-2</v>
      </c>
    </row>
    <row r="18" spans="1:13" s="11" customFormat="1">
      <c r="A18" s="170" t="s">
        <v>73</v>
      </c>
      <c r="B18" s="171">
        <f>Dívida!E15</f>
        <v>-11684122.676666664</v>
      </c>
      <c r="C18" s="171">
        <f>B18/(1+Parâmetros!E11)</f>
        <v>-11227176.58947503</v>
      </c>
      <c r="D18" s="586"/>
      <c r="E18" s="172">
        <f>B18/RCL!D14</f>
        <v>-0.16080508177065536</v>
      </c>
      <c r="F18" s="171">
        <f>Dívida!F15</f>
        <v>-13250127.242222223</v>
      </c>
      <c r="G18" s="171">
        <f>F18/((1+Parâmetros!E11)*(1+Parâmetros!F11))</f>
        <v>-12239893.665094843</v>
      </c>
      <c r="H18" s="586"/>
      <c r="I18" s="172">
        <f>F18/RCL!E14</f>
        <v>-0.17771759639210802</v>
      </c>
      <c r="J18" s="171">
        <f>Dívida!G15</f>
        <v>-13926527.499629628</v>
      </c>
      <c r="K18" s="171">
        <f>J18/((1+Parâmetros!E11)*(1+Parâmetros!F11)*(1+Parâmetros!G11))</f>
        <v>-12377066.506696697</v>
      </c>
      <c r="L18" s="586"/>
      <c r="M18" s="172">
        <f>J18/RCL!F14</f>
        <v>-0.18016532838440752</v>
      </c>
    </row>
    <row r="19" spans="1:13" s="11" customFormat="1">
      <c r="A19" s="170" t="s">
        <v>209</v>
      </c>
      <c r="B19" s="171">
        <v>0</v>
      </c>
      <c r="C19" s="171">
        <f>B19/(1+Parâmetros!E11)</f>
        <v>0</v>
      </c>
      <c r="D19" s="586"/>
      <c r="E19" s="172">
        <f>B19/RCL!D14</f>
        <v>0</v>
      </c>
      <c r="F19" s="171">
        <v>0</v>
      </c>
      <c r="G19" s="171">
        <f>F19/((1+Parâmetros!E11)*(1+Parâmetros!F11))</f>
        <v>0</v>
      </c>
      <c r="H19" s="586"/>
      <c r="I19" s="172">
        <f>F19/RCL!E14</f>
        <v>0</v>
      </c>
      <c r="J19" s="171">
        <v>0</v>
      </c>
      <c r="K19" s="171">
        <f>J19/((1+Parâmetros!E11)*(1+Parâmetros!F11)*(1+Parâmetros!G11))</f>
        <v>0</v>
      </c>
      <c r="L19" s="586"/>
      <c r="M19" s="172">
        <f>J19/RCL!F14</f>
        <v>0</v>
      </c>
    </row>
    <row r="20" spans="1:13" s="11" customFormat="1">
      <c r="A20" s="170" t="s">
        <v>210</v>
      </c>
      <c r="B20" s="171">
        <v>0</v>
      </c>
      <c r="C20" s="171">
        <f>B20/(1+Parâmetros!E11)</f>
        <v>0</v>
      </c>
      <c r="D20" s="586"/>
      <c r="E20" s="172">
        <f>B20/RCL!D14</f>
        <v>0</v>
      </c>
      <c r="F20" s="171">
        <v>0</v>
      </c>
      <c r="G20" s="171">
        <f>F20/((1+Parâmetros!E11)*(1+Parâmetros!F11))</f>
        <v>0</v>
      </c>
      <c r="H20" s="586"/>
      <c r="I20" s="172">
        <f>F20/RCL!E14</f>
        <v>0</v>
      </c>
      <c r="J20" s="171">
        <v>0</v>
      </c>
      <c r="K20" s="171">
        <f>J20/((1+Parâmetros!E11)*(1+Parâmetros!F11)*(1+Parâmetros!G11))</f>
        <v>0</v>
      </c>
      <c r="L20" s="586"/>
      <c r="M20" s="172">
        <f>J20/RCL!F14</f>
        <v>0</v>
      </c>
    </row>
    <row r="21" spans="1:13" s="11" customFormat="1">
      <c r="A21" s="170" t="s">
        <v>211</v>
      </c>
      <c r="B21" s="171">
        <v>0</v>
      </c>
      <c r="C21" s="171">
        <f>B21/(1+Parâmetros!E11)</f>
        <v>0</v>
      </c>
      <c r="D21" s="587"/>
      <c r="E21" s="172">
        <f>B21/RCL!D14</f>
        <v>0</v>
      </c>
      <c r="F21" s="171">
        <v>0</v>
      </c>
      <c r="G21" s="171">
        <f>F21/((1+Parâmetros!E11)*(1+Parâmetros!F11))</f>
        <v>0</v>
      </c>
      <c r="H21" s="587"/>
      <c r="I21" s="172">
        <f>F21/RCL!E14</f>
        <v>0</v>
      </c>
      <c r="J21" s="171">
        <v>0</v>
      </c>
      <c r="K21" s="171">
        <f>J21/((1+Parâmetros!E11)*(1+Parâmetros!F11)*(1+Parâmetros!G11))</f>
        <v>0</v>
      </c>
      <c r="L21" s="587"/>
      <c r="M21" s="172">
        <f>J21/RCL!F14</f>
        <v>0</v>
      </c>
    </row>
    <row r="22" spans="1:13">
      <c r="A22" s="590" t="s">
        <v>793</v>
      </c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</row>
    <row r="23" spans="1:13" s="74" customFormat="1" ht="15" customHeight="1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</row>
    <row r="24" spans="1:13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</row>
    <row r="25" spans="1:13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  <row r="26" spans="1:13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</row>
    <row r="27" spans="1:13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</row>
    <row r="28" spans="1:13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</row>
    <row r="29" spans="1:13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</row>
    <row r="30" spans="1:13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</row>
    <row r="31" spans="1:13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</row>
    <row r="32" spans="1:13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pans="1:13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</row>
    <row r="34" spans="1:13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3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</row>
    <row r="36" spans="1:13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</row>
    <row r="37" spans="1:13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</row>
    <row r="38" spans="1:13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</row>
    <row r="39" spans="1:13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</row>
    <row r="40" spans="1:13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</row>
    <row r="44" spans="1:13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</row>
    <row r="45" spans="1:13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</row>
    <row r="46" spans="1:13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</row>
    <row r="47" spans="1:13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</row>
    <row r="48" spans="1:13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</row>
    <row r="49" spans="1:13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</row>
    <row r="50" spans="1:13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</row>
    <row r="51" spans="1:13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</row>
    <row r="52" spans="1:13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</row>
    <row r="53" spans="1:13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3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</row>
    <row r="55" spans="1:13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</row>
    <row r="56" spans="1:13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  <row r="57" spans="1:13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spans="1:13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spans="1:13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</row>
    <row r="70" spans="1:13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</row>
    <row r="71" spans="1:13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</row>
    <row r="72" spans="1:13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</row>
    <row r="73" spans="1:13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</row>
    <row r="74" spans="1:13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</row>
    <row r="75" spans="1:13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  <row r="76" spans="1:13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</row>
    <row r="77" spans="1:13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13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</row>
    <row r="79" spans="1:13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</row>
    <row r="80" spans="1:13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</row>
  </sheetData>
  <mergeCells count="22">
    <mergeCell ref="A1:M1"/>
    <mergeCell ref="A2:M2"/>
    <mergeCell ref="A3:M3"/>
    <mergeCell ref="A4:M4"/>
    <mergeCell ref="F7:I7"/>
    <mergeCell ref="A6:D6"/>
    <mergeCell ref="A5:M5"/>
    <mergeCell ref="F6:H6"/>
    <mergeCell ref="D11:D21"/>
    <mergeCell ref="H11:H21"/>
    <mergeCell ref="J6:M6"/>
    <mergeCell ref="L11:L21"/>
    <mergeCell ref="A22:M22"/>
    <mergeCell ref="A7:A10"/>
    <mergeCell ref="B7:E7"/>
    <mergeCell ref="B8:B10"/>
    <mergeCell ref="C8:C10"/>
    <mergeCell ref="J8:J10"/>
    <mergeCell ref="K8:K10"/>
    <mergeCell ref="F8:F10"/>
    <mergeCell ref="G8:G10"/>
    <mergeCell ref="J7:M7"/>
  </mergeCells>
  <phoneticPr fontId="25" type="noConversion"/>
  <pageMargins left="0.78740157499999996" right="0.78740157499999996" top="0.984251969" bottom="0.984251969" header="0.49212598499999999" footer="0.49212598499999999"/>
  <pageSetup paperSize="9" scale="44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"/>
  <sheetViews>
    <sheetView zoomScale="90" zoomScaleNormal="90" zoomScaleSheetLayoutView="90" workbookViewId="0">
      <selection activeCell="N17" sqref="N17"/>
    </sheetView>
  </sheetViews>
  <sheetFormatPr defaultRowHeight="14.25"/>
  <cols>
    <col min="1" max="1" width="30" style="13" customWidth="1"/>
    <col min="2" max="2" width="16.7109375" style="13" customWidth="1"/>
    <col min="3" max="3" width="16.140625" style="13" customWidth="1"/>
    <col min="4" max="4" width="12.140625" style="13" customWidth="1"/>
    <col min="5" max="6" width="12.85546875" style="13" customWidth="1"/>
    <col min="7" max="7" width="10.7109375" style="13" customWidth="1"/>
    <col min="8" max="8" width="12.85546875" style="13" customWidth="1"/>
    <col min="9" max="9" width="13.140625" style="13" customWidth="1"/>
    <col min="10" max="10" width="10.140625" style="13" customWidth="1"/>
    <col min="11" max="16384" width="9.140625" style="13"/>
  </cols>
  <sheetData>
    <row r="1" spans="1:10">
      <c r="A1" s="618" t="str">
        <f>Parâmetros!A7</f>
        <v>Município de : PORTÃO/RS</v>
      </c>
      <c r="B1" s="616"/>
      <c r="C1" s="616"/>
      <c r="D1" s="616"/>
      <c r="E1" s="616"/>
      <c r="F1" s="616"/>
      <c r="G1" s="616"/>
      <c r="H1" s="616"/>
      <c r="I1" s="616"/>
      <c r="J1" s="617"/>
    </row>
    <row r="2" spans="1:10">
      <c r="A2" s="615" t="s">
        <v>36</v>
      </c>
      <c r="B2" s="616"/>
      <c r="C2" s="616"/>
      <c r="D2" s="616"/>
      <c r="E2" s="616"/>
      <c r="F2" s="616"/>
      <c r="G2" s="616"/>
      <c r="H2" s="616"/>
      <c r="I2" s="616"/>
      <c r="J2" s="617"/>
    </row>
    <row r="3" spans="1:10">
      <c r="A3" s="615" t="str">
        <f>'Metas Cons'!A3:M3</f>
        <v>ANEXO DE METAS FISCAIS</v>
      </c>
      <c r="B3" s="616"/>
      <c r="C3" s="616"/>
      <c r="D3" s="616"/>
      <c r="E3" s="616"/>
      <c r="F3" s="616"/>
      <c r="G3" s="616"/>
      <c r="H3" s="616"/>
      <c r="I3" s="616"/>
      <c r="J3" s="617"/>
    </row>
    <row r="4" spans="1:10">
      <c r="A4" s="619" t="s">
        <v>487</v>
      </c>
      <c r="B4" s="620"/>
      <c r="C4" s="620"/>
      <c r="D4" s="620"/>
      <c r="E4" s="620"/>
      <c r="F4" s="620"/>
      <c r="G4" s="620"/>
      <c r="H4" s="620"/>
      <c r="I4" s="620"/>
      <c r="J4" s="621"/>
    </row>
    <row r="5" spans="1:10" ht="17.25" customHeight="1">
      <c r="A5" s="615" t="s">
        <v>598</v>
      </c>
      <c r="B5" s="616"/>
      <c r="C5" s="616"/>
      <c r="D5" s="616"/>
      <c r="E5" s="616"/>
      <c r="F5" s="616"/>
      <c r="G5" s="616"/>
      <c r="H5" s="616"/>
      <c r="I5" s="616"/>
      <c r="J5" s="617"/>
    </row>
    <row r="6" spans="1:10" ht="21.75" customHeight="1">
      <c r="A6" s="149"/>
      <c r="B6" s="150"/>
      <c r="C6" s="150"/>
      <c r="D6" s="150"/>
      <c r="E6" s="150"/>
      <c r="F6" s="150"/>
      <c r="G6" s="150"/>
      <c r="H6" s="150"/>
      <c r="I6" s="150"/>
      <c r="J6" s="151"/>
    </row>
    <row r="7" spans="1:10">
      <c r="A7" s="611" t="s">
        <v>499</v>
      </c>
      <c r="B7" s="632"/>
      <c r="C7" s="632"/>
      <c r="D7" s="633"/>
      <c r="E7" s="622"/>
      <c r="F7" s="622"/>
      <c r="G7" s="622"/>
      <c r="H7" s="623">
        <v>1</v>
      </c>
      <c r="I7" s="624"/>
      <c r="J7" s="624"/>
    </row>
    <row r="8" spans="1:10" s="14" customFormat="1">
      <c r="A8" s="626" t="s">
        <v>56</v>
      </c>
      <c r="B8" s="629">
        <f>Parâmetros!E10</f>
        <v>2019</v>
      </c>
      <c r="C8" s="630"/>
      <c r="D8" s="631"/>
      <c r="E8" s="629">
        <f>B8+1</f>
        <v>2020</v>
      </c>
      <c r="F8" s="630"/>
      <c r="G8" s="631"/>
      <c r="H8" s="629">
        <f>E8+1</f>
        <v>2021</v>
      </c>
      <c r="I8" s="630"/>
      <c r="J8" s="631"/>
    </row>
    <row r="9" spans="1:10" ht="15.75" customHeight="1">
      <c r="A9" s="627"/>
      <c r="B9" s="152" t="s">
        <v>57</v>
      </c>
      <c r="C9" s="153" t="s">
        <v>57</v>
      </c>
      <c r="D9" s="153" t="s">
        <v>58</v>
      </c>
      <c r="E9" s="153" t="s">
        <v>57</v>
      </c>
      <c r="F9" s="153" t="s">
        <v>57</v>
      </c>
      <c r="G9" s="153" t="s">
        <v>58</v>
      </c>
      <c r="H9" s="153" t="s">
        <v>57</v>
      </c>
      <c r="I9" s="153" t="s">
        <v>57</v>
      </c>
      <c r="J9" s="154" t="s">
        <v>58</v>
      </c>
    </row>
    <row r="10" spans="1:10" ht="15.75" customHeight="1">
      <c r="A10" s="627"/>
      <c r="B10" s="155" t="s">
        <v>59</v>
      </c>
      <c r="C10" s="156" t="s">
        <v>60</v>
      </c>
      <c r="D10" s="156" t="s">
        <v>61</v>
      </c>
      <c r="E10" s="156" t="s">
        <v>59</v>
      </c>
      <c r="F10" s="156" t="s">
        <v>60</v>
      </c>
      <c r="G10" s="156" t="s">
        <v>62</v>
      </c>
      <c r="H10" s="156" t="s">
        <v>59</v>
      </c>
      <c r="I10" s="156" t="s">
        <v>60</v>
      </c>
      <c r="J10" s="157" t="s">
        <v>63</v>
      </c>
    </row>
    <row r="11" spans="1:10" ht="15.75" customHeight="1">
      <c r="A11" s="628"/>
      <c r="B11" s="158" t="s">
        <v>64</v>
      </c>
      <c r="C11" s="159"/>
      <c r="D11" s="160" t="s">
        <v>65</v>
      </c>
      <c r="E11" s="160" t="s">
        <v>66</v>
      </c>
      <c r="F11" s="159"/>
      <c r="G11" s="160" t="s">
        <v>65</v>
      </c>
      <c r="H11" s="160" t="s">
        <v>67</v>
      </c>
      <c r="I11" s="159"/>
      <c r="J11" s="161" t="s">
        <v>65</v>
      </c>
    </row>
    <row r="12" spans="1:10">
      <c r="A12" s="162" t="s">
        <v>148</v>
      </c>
      <c r="B12" s="163">
        <f>Projeções!G17+Projeções!G28+Projeções!G72+Projeções!G95+Projeções!G97</f>
        <v>20049971.954838775</v>
      </c>
      <c r="C12" s="163">
        <f>B12/(1+Parâmetros!E11)</f>
        <v>19265851.787103657</v>
      </c>
      <c r="D12" s="634" t="s">
        <v>629</v>
      </c>
      <c r="E12" s="163">
        <f>Projeções!H17+Projeções!H28+Projeções!H72+Projeções!H95+Projeções!H97</f>
        <v>21443112.377370797</v>
      </c>
      <c r="F12" s="163">
        <f>E12/((1+Parâmetros!E11)*(1+Parâmetros!F11))</f>
        <v>19808218.483468641</v>
      </c>
      <c r="G12" s="634" t="s">
        <v>629</v>
      </c>
      <c r="H12" s="164">
        <f>Projeções!I17+Projeções!I28+Projeções!I72+Projeções!I95+Projeções!I97</f>
        <v>23085826.904907614</v>
      </c>
      <c r="I12" s="164">
        <f>H12/((1+Parâmetros!E11)*(1+Parâmetros!F11)*(1+Parâmetros!G11))</f>
        <v>20517305.191242293</v>
      </c>
      <c r="J12" s="634" t="s">
        <v>629</v>
      </c>
    </row>
    <row r="13" spans="1:10">
      <c r="A13" s="162" t="s">
        <v>149</v>
      </c>
      <c r="B13" s="163">
        <f>B12-Projeções!G28</f>
        <v>13049971.954838775</v>
      </c>
      <c r="C13" s="163">
        <f>B13/(1+Parâmetros!E11)</f>
        <v>12539609.834571708</v>
      </c>
      <c r="D13" s="635"/>
      <c r="E13" s="163">
        <f>E12-Projeções!H28</f>
        <v>13966570.857370798</v>
      </c>
      <c r="F13" s="163">
        <f>E13/((1+Parâmetros!E11)*(1+Parâmetros!F11))</f>
        <v>12901713.246608837</v>
      </c>
      <c r="G13" s="635"/>
      <c r="H13" s="164">
        <f>H12-Projeções!I28</f>
        <v>15109552.153464172</v>
      </c>
      <c r="I13" s="164">
        <f>H13/((1+Parâmetros!E11)*(1+Parâmetros!F11)*(1+Parâmetros!G11))</f>
        <v>13428468.216129391</v>
      </c>
      <c r="J13" s="635"/>
    </row>
    <row r="14" spans="1:10">
      <c r="A14" s="162" t="s">
        <v>150</v>
      </c>
      <c r="B14" s="163">
        <f>Projeções!G117+Projeções!G121+Projeções!G125+Projeções!G130+Projeções!G138+Projeções!G140</f>
        <v>17000109.093892131</v>
      </c>
      <c r="C14" s="163">
        <f>B14/(1+Parâmetros!E11)</f>
        <v>16335263.854993882</v>
      </c>
      <c r="D14" s="635"/>
      <c r="E14" s="163">
        <f>Projeções!H117+Projeções!H121+Projeções!H125+Projeções!H130+Projeções!H138+Projeções!H140</f>
        <v>21443112.377370797</v>
      </c>
      <c r="F14" s="163">
        <f>E14/((1+Parâmetros!E11)*(1+Parâmetros!F11))</f>
        <v>19808218.483468641</v>
      </c>
      <c r="G14" s="635"/>
      <c r="H14" s="164">
        <f>Projeções!I117+Projeções!I121+Projeções!I125+Projeções!I130+Projeções!I138+Projeções!I140</f>
        <v>23085826.904907614</v>
      </c>
      <c r="I14" s="164">
        <f>H14/((1+Parâmetros!E11)*(1+Parâmetros!F11)*(1+Parâmetros!G11))</f>
        <v>20517305.191242293</v>
      </c>
      <c r="J14" s="635"/>
    </row>
    <row r="15" spans="1:10">
      <c r="A15" s="162" t="s">
        <v>151</v>
      </c>
      <c r="B15" s="163">
        <f>B14-Projeções!G121-Projeções!G138</f>
        <v>17000109.093892131</v>
      </c>
      <c r="C15" s="163">
        <f>B15/(1+Parâmetros!E11)</f>
        <v>16335263.854993882</v>
      </c>
      <c r="D15" s="635"/>
      <c r="E15" s="163">
        <f>E14-Projeções!H121-Projeções!H138</f>
        <v>21443112.377370797</v>
      </c>
      <c r="F15" s="163">
        <f>E15/((1+Parâmetros!E11)*(1+Parâmetros!F11))</f>
        <v>19808218.483468641</v>
      </c>
      <c r="G15" s="635"/>
      <c r="H15" s="164">
        <f>H14-Projeções!I121-Projeções!I138</f>
        <v>23085826.904907614</v>
      </c>
      <c r="I15" s="164">
        <f>H15/((1+Parâmetros!E11)*(1+Parâmetros!F11)*(1+Parâmetros!G11))</f>
        <v>20517305.191242293</v>
      </c>
      <c r="J15" s="635"/>
    </row>
    <row r="16" spans="1:10">
      <c r="A16" s="162" t="s">
        <v>152</v>
      </c>
      <c r="B16" s="163">
        <f>B13-B15</f>
        <v>-3950137.1390533559</v>
      </c>
      <c r="C16" s="163">
        <f>C13-C15</f>
        <v>-3795654.0204221737</v>
      </c>
      <c r="D16" s="636"/>
      <c r="E16" s="163">
        <f>E13-E15</f>
        <v>-7476541.5199999996</v>
      </c>
      <c r="F16" s="163">
        <f>F13-F15</f>
        <v>-6906505.236859804</v>
      </c>
      <c r="G16" s="636"/>
      <c r="H16" s="164">
        <f>H13-H15</f>
        <v>-7976274.751443442</v>
      </c>
      <c r="I16" s="164">
        <f>I13-I15</f>
        <v>-7088836.975112902</v>
      </c>
      <c r="J16" s="636"/>
    </row>
    <row r="17" spans="1:10">
      <c r="A17" s="625" t="s">
        <v>794</v>
      </c>
      <c r="B17" s="625"/>
      <c r="C17" s="625"/>
      <c r="D17" s="625"/>
      <c r="E17" s="625"/>
      <c r="F17" s="625"/>
      <c r="G17" s="625"/>
      <c r="H17" s="625"/>
      <c r="I17" s="625"/>
      <c r="J17" s="625"/>
    </row>
    <row r="18" spans="1:10" s="77" customFormat="1" ht="15" customHeight="1">
      <c r="A18" s="165"/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0">
      <c r="A19" s="166"/>
      <c r="B19" s="166"/>
      <c r="C19" s="166"/>
      <c r="D19" s="166"/>
      <c r="E19" s="166"/>
      <c r="F19" s="166"/>
      <c r="G19" s="166"/>
      <c r="H19" s="166"/>
      <c r="I19" s="166"/>
      <c r="J19" s="166"/>
    </row>
    <row r="20" spans="1:10">
      <c r="A20" s="166"/>
      <c r="B20" s="166"/>
      <c r="C20" s="166"/>
      <c r="D20" s="166"/>
      <c r="E20" s="166"/>
      <c r="F20" s="166"/>
      <c r="G20" s="166"/>
      <c r="H20" s="166"/>
      <c r="I20" s="166"/>
      <c r="J20" s="166"/>
    </row>
    <row r="21" spans="1:10">
      <c r="A21" s="166"/>
      <c r="B21" s="166"/>
      <c r="C21" s="166"/>
      <c r="D21" s="166"/>
      <c r="E21" s="166"/>
      <c r="F21" s="166"/>
      <c r="G21" s="166"/>
      <c r="H21" s="166"/>
      <c r="I21" s="166"/>
      <c r="J21" s="166"/>
    </row>
    <row r="22" spans="1:10">
      <c r="A22" s="166"/>
      <c r="B22" s="166"/>
      <c r="C22" s="166"/>
      <c r="D22" s="166"/>
      <c r="E22" s="166"/>
      <c r="F22" s="166"/>
      <c r="G22" s="166"/>
      <c r="H22" s="166"/>
      <c r="I22" s="166"/>
      <c r="J22" s="166"/>
    </row>
    <row r="23" spans="1:10">
      <c r="A23" s="166"/>
      <c r="B23" s="166"/>
      <c r="C23" s="166"/>
      <c r="D23" s="166"/>
      <c r="E23" s="166"/>
      <c r="F23" s="166"/>
      <c r="G23" s="166"/>
      <c r="H23" s="166"/>
      <c r="I23" s="166"/>
      <c r="J23" s="166"/>
    </row>
    <row r="24" spans="1:10">
      <c r="A24" s="166"/>
      <c r="B24" s="166"/>
      <c r="C24" s="166"/>
      <c r="D24" s="166"/>
      <c r="E24" s="166"/>
      <c r="F24" s="166"/>
      <c r="G24" s="166"/>
      <c r="H24" s="166"/>
      <c r="I24" s="166"/>
      <c r="J24" s="166"/>
    </row>
    <row r="25" spans="1:10">
      <c r="A25" s="166"/>
      <c r="B25" s="166"/>
      <c r="C25" s="166"/>
      <c r="D25" s="166"/>
      <c r="E25" s="166"/>
      <c r="F25" s="166"/>
      <c r="G25" s="166"/>
      <c r="H25" s="166"/>
      <c r="I25" s="166"/>
      <c r="J25" s="166"/>
    </row>
  </sheetData>
  <mergeCells count="16">
    <mergeCell ref="E7:G7"/>
    <mergeCell ref="H7:J7"/>
    <mergeCell ref="A17:J17"/>
    <mergeCell ref="A8:A11"/>
    <mergeCell ref="B8:D8"/>
    <mergeCell ref="E8:G8"/>
    <mergeCell ref="H8:J8"/>
    <mergeCell ref="A7:D7"/>
    <mergeCell ref="D12:D16"/>
    <mergeCell ref="G12:G16"/>
    <mergeCell ref="J12:J16"/>
    <mergeCell ref="A5:J5"/>
    <mergeCell ref="A1:J1"/>
    <mergeCell ref="A2:J2"/>
    <mergeCell ref="A3:J3"/>
    <mergeCell ref="A4:J4"/>
  </mergeCells>
  <phoneticPr fontId="25" type="noConversion"/>
  <pageMargins left="0.78740157480314965" right="0.78740157480314965" top="0.98425196850393704" bottom="0.98425196850393704" header="0.51181102362204722" footer="0.51181102362204722"/>
  <pageSetup scale="7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12"/>
  <dimension ref="A1:I19"/>
  <sheetViews>
    <sheetView view="pageBreakPreview" topLeftCell="A4" zoomScaleNormal="90" workbookViewId="0">
      <selection activeCell="E17" sqref="E17"/>
    </sheetView>
  </sheetViews>
  <sheetFormatPr defaultRowHeight="12.75"/>
  <cols>
    <col min="1" max="1" width="20.7109375" style="11" customWidth="1"/>
    <col min="2" max="2" width="17.28515625" style="11" customWidth="1"/>
    <col min="3" max="3" width="9.7109375" style="11" customWidth="1"/>
    <col min="4" max="4" width="10.5703125" style="11" customWidth="1"/>
    <col min="5" max="5" width="17.28515625" style="11" customWidth="1"/>
    <col min="6" max="6" width="9.7109375" style="11" customWidth="1"/>
    <col min="7" max="7" width="10.5703125" style="11" customWidth="1"/>
    <col min="8" max="8" width="16.85546875" style="11" customWidth="1"/>
    <col min="9" max="9" width="10.140625" style="11" customWidth="1"/>
    <col min="10" max="16384" width="9.140625" style="11"/>
  </cols>
  <sheetData>
    <row r="1" spans="1:9">
      <c r="A1" s="601" t="str">
        <f>Parâmetros!A7</f>
        <v>Município de : PORTÃO/RS</v>
      </c>
      <c r="B1" s="602"/>
      <c r="C1" s="602"/>
      <c r="D1" s="602"/>
      <c r="E1" s="602"/>
      <c r="F1" s="602"/>
      <c r="G1" s="602"/>
      <c r="H1" s="602"/>
      <c r="I1" s="603"/>
    </row>
    <row r="2" spans="1:9">
      <c r="A2" s="604" t="s">
        <v>36</v>
      </c>
      <c r="B2" s="602"/>
      <c r="C2" s="602"/>
      <c r="D2" s="602"/>
      <c r="E2" s="602"/>
      <c r="F2" s="602"/>
      <c r="G2" s="602"/>
      <c r="H2" s="602"/>
      <c r="I2" s="603"/>
    </row>
    <row r="3" spans="1:9">
      <c r="A3" s="604" t="str">
        <f>'Metas Cons'!A3:M3</f>
        <v>ANEXO DE METAS FISCAIS</v>
      </c>
      <c r="B3" s="602"/>
      <c r="C3" s="602"/>
      <c r="D3" s="602"/>
      <c r="E3" s="602"/>
      <c r="F3" s="602"/>
      <c r="G3" s="602"/>
      <c r="H3" s="602"/>
      <c r="I3" s="603"/>
    </row>
    <row r="4" spans="1:9">
      <c r="A4" s="605" t="s">
        <v>488</v>
      </c>
      <c r="B4" s="606"/>
      <c r="C4" s="606"/>
      <c r="D4" s="606"/>
      <c r="E4" s="606"/>
      <c r="F4" s="606"/>
      <c r="G4" s="606"/>
      <c r="H4" s="606"/>
      <c r="I4" s="607"/>
    </row>
    <row r="5" spans="1:9">
      <c r="A5" s="604" t="s">
        <v>598</v>
      </c>
      <c r="B5" s="602"/>
      <c r="C5" s="602"/>
      <c r="D5" s="602"/>
      <c r="E5" s="602"/>
      <c r="F5" s="602"/>
      <c r="G5" s="602"/>
      <c r="H5" s="602"/>
      <c r="I5" s="603"/>
    </row>
    <row r="6" spans="1:9">
      <c r="A6" s="604"/>
      <c r="B6" s="602"/>
      <c r="C6" s="602"/>
      <c r="D6" s="602"/>
      <c r="E6" s="602"/>
      <c r="F6" s="602"/>
      <c r="G6" s="602"/>
      <c r="H6" s="602"/>
      <c r="I6" s="603"/>
    </row>
    <row r="7" spans="1:9" ht="12.75" customHeight="1">
      <c r="A7" s="647" t="s">
        <v>498</v>
      </c>
      <c r="B7" s="648"/>
      <c r="C7" s="352"/>
      <c r="D7" s="352"/>
      <c r="E7" s="352"/>
      <c r="F7" s="352"/>
      <c r="G7" s="352"/>
      <c r="H7" s="588">
        <v>1</v>
      </c>
      <c r="I7" s="589"/>
    </row>
    <row r="8" spans="1:9" ht="10.5" customHeight="1">
      <c r="A8" s="640" t="s">
        <v>56</v>
      </c>
      <c r="B8" s="598" t="s">
        <v>116</v>
      </c>
      <c r="C8" s="598" t="s">
        <v>58</v>
      </c>
      <c r="D8" s="598" t="s">
        <v>389</v>
      </c>
      <c r="E8" s="598" t="s">
        <v>117</v>
      </c>
      <c r="F8" s="598" t="s">
        <v>58</v>
      </c>
      <c r="G8" s="598" t="s">
        <v>389</v>
      </c>
      <c r="H8" s="643" t="s">
        <v>74</v>
      </c>
      <c r="I8" s="644"/>
    </row>
    <row r="9" spans="1:9" ht="12.75" customHeight="1">
      <c r="A9" s="641"/>
      <c r="B9" s="599"/>
      <c r="C9" s="599"/>
      <c r="D9" s="599"/>
      <c r="E9" s="599"/>
      <c r="F9" s="599"/>
      <c r="G9" s="599"/>
      <c r="H9" s="645"/>
      <c r="I9" s="646"/>
    </row>
    <row r="10" spans="1:9" ht="22.5" customHeight="1">
      <c r="A10" s="642"/>
      <c r="B10" s="354" t="s">
        <v>599</v>
      </c>
      <c r="C10" s="600"/>
      <c r="D10" s="600"/>
      <c r="E10" s="355" t="s">
        <v>600</v>
      </c>
      <c r="F10" s="600"/>
      <c r="G10" s="600"/>
      <c r="H10" s="356" t="s">
        <v>118</v>
      </c>
      <c r="I10" s="353" t="s">
        <v>75</v>
      </c>
    </row>
    <row r="11" spans="1:9">
      <c r="A11" s="170" t="s">
        <v>39</v>
      </c>
      <c r="B11" s="171">
        <v>93233157.620000005</v>
      </c>
      <c r="C11" s="637" t="s">
        <v>628</v>
      </c>
      <c r="D11" s="357">
        <f>B11/RCL!B14</f>
        <v>1.3607671177183076</v>
      </c>
      <c r="E11" s="358">
        <f>Projeções!E105</f>
        <v>93232100.810000017</v>
      </c>
      <c r="F11" s="637" t="s">
        <v>628</v>
      </c>
      <c r="G11" s="172">
        <f>E11/RCL!B14</f>
        <v>1.360751693245573</v>
      </c>
      <c r="H11" s="359">
        <f t="shared" ref="H11:H18" si="0">E11-B11</f>
        <v>-1056.809999987483</v>
      </c>
      <c r="I11" s="360">
        <f t="shared" ref="I11:I18" si="1">IF(B11=0,"-",(H11/B11))</f>
        <v>-1.1335130408162646E-5</v>
      </c>
    </row>
    <row r="12" spans="1:9">
      <c r="A12" s="170" t="s">
        <v>123</v>
      </c>
      <c r="B12" s="171">
        <v>81084839.140000001</v>
      </c>
      <c r="C12" s="638"/>
      <c r="D12" s="357">
        <f>B12/RCL!B14</f>
        <v>1.1834586070430508</v>
      </c>
      <c r="E12" s="358">
        <f>E11-Projeções!E25-Projeções!E79-Projeções!E80-Projeções!E85</f>
        <v>81083782.330000028</v>
      </c>
      <c r="F12" s="638"/>
      <c r="G12" s="172">
        <f>E12/RCL!B14</f>
        <v>1.1834431825703167</v>
      </c>
      <c r="H12" s="359">
        <f t="shared" si="0"/>
        <v>-1056.8099999725819</v>
      </c>
      <c r="I12" s="360">
        <f t="shared" si="1"/>
        <v>-1.3033385910131828E-5</v>
      </c>
    </row>
    <row r="13" spans="1:9">
      <c r="A13" s="170" t="s">
        <v>40</v>
      </c>
      <c r="B13" s="171">
        <v>74446723.989999995</v>
      </c>
      <c r="C13" s="638"/>
      <c r="D13" s="357">
        <f>B13/RCL!B14</f>
        <v>1.0865732386791027</v>
      </c>
      <c r="E13" s="358">
        <f>Projeções!E141</f>
        <v>73226517.769999996</v>
      </c>
      <c r="F13" s="638"/>
      <c r="G13" s="172">
        <f>E13/RCL!B14</f>
        <v>1.0687639469700427</v>
      </c>
      <c r="H13" s="359">
        <f t="shared" si="0"/>
        <v>-1220206.2199999988</v>
      </c>
      <c r="I13" s="360">
        <f t="shared" si="1"/>
        <v>-1.639032793657787E-2</v>
      </c>
    </row>
    <row r="14" spans="1:9">
      <c r="A14" s="170" t="s">
        <v>124</v>
      </c>
      <c r="B14" s="171">
        <v>72119976.890000001</v>
      </c>
      <c r="C14" s="638"/>
      <c r="D14" s="357">
        <f>B14/RCL!B14</f>
        <v>1.0526136364758709</v>
      </c>
      <c r="E14" s="358">
        <f>E13-Projeções!E118-Projeções!E135-Projeções!E132</f>
        <v>70899770.670000002</v>
      </c>
      <c r="F14" s="638"/>
      <c r="G14" s="172">
        <f>E14/RCL!B14</f>
        <v>1.0348043447668109</v>
      </c>
      <c r="H14" s="359">
        <f t="shared" si="0"/>
        <v>-1220206.2199999988</v>
      </c>
      <c r="I14" s="360">
        <f t="shared" si="1"/>
        <v>-1.6919115515817505E-2</v>
      </c>
    </row>
    <row r="15" spans="1:9">
      <c r="A15" s="170" t="s">
        <v>76</v>
      </c>
      <c r="B15" s="361">
        <f>B12-B14</f>
        <v>8964862.25</v>
      </c>
      <c r="C15" s="638"/>
      <c r="D15" s="357">
        <f>B15/RCL!B14</f>
        <v>0.13084497056718009</v>
      </c>
      <c r="E15" s="361">
        <f>E12-E14</f>
        <v>10184011.660000026</v>
      </c>
      <c r="F15" s="638"/>
      <c r="G15" s="172">
        <f>E15/RCL!B14</f>
        <v>0.14863883780350581</v>
      </c>
      <c r="H15" s="359">
        <f t="shared" si="0"/>
        <v>1219149.4100000262</v>
      </c>
      <c r="I15" s="360">
        <f t="shared" si="1"/>
        <v>0.13599198470673948</v>
      </c>
    </row>
    <row r="16" spans="1:9" ht="15" customHeight="1">
      <c r="A16" s="170" t="s">
        <v>37</v>
      </c>
      <c r="B16" s="362">
        <v>-3318781.58</v>
      </c>
      <c r="C16" s="638"/>
      <c r="D16" s="357">
        <f>B16/RCL!B14</f>
        <v>-4.8438655948561775E-2</v>
      </c>
      <c r="E16" s="358"/>
      <c r="F16" s="638"/>
      <c r="G16" s="172">
        <f>E16/RCL!B14</f>
        <v>0</v>
      </c>
      <c r="H16" s="359">
        <f t="shared" si="0"/>
        <v>3318781.58</v>
      </c>
      <c r="I16" s="360">
        <f t="shared" si="1"/>
        <v>-1</v>
      </c>
    </row>
    <row r="17" spans="1:9" ht="27" customHeight="1">
      <c r="A17" s="170" t="s">
        <v>77</v>
      </c>
      <c r="B17" s="362">
        <v>1560483.86</v>
      </c>
      <c r="C17" s="638"/>
      <c r="D17" s="357">
        <f>B17/RCL!B14</f>
        <v>2.2775750372768924E-2</v>
      </c>
      <c r="E17" s="358">
        <f>Dívida!C7</f>
        <v>1560483.86</v>
      </c>
      <c r="F17" s="638"/>
      <c r="G17" s="172">
        <f>E17/RCL!B14</f>
        <v>2.2775750372768924E-2</v>
      </c>
      <c r="H17" s="359">
        <f t="shared" si="0"/>
        <v>0</v>
      </c>
      <c r="I17" s="360">
        <f t="shared" si="1"/>
        <v>0</v>
      </c>
    </row>
    <row r="18" spans="1:9" ht="28.5" customHeight="1">
      <c r="A18" s="170" t="s">
        <v>78</v>
      </c>
      <c r="B18" s="362">
        <v>-9611949.25</v>
      </c>
      <c r="C18" s="639"/>
      <c r="D18" s="357">
        <f>B18/RCL!B14</f>
        <v>-0.14028940787232716</v>
      </c>
      <c r="E18" s="358">
        <f>Dívida!C15</f>
        <v>-9387661.9300000016</v>
      </c>
      <c r="F18" s="639"/>
      <c r="G18" s="172">
        <f>E18/RCL!B14</f>
        <v>-0.1370158642343319</v>
      </c>
      <c r="H18" s="359">
        <f t="shared" si="0"/>
        <v>224287.31999999844</v>
      </c>
      <c r="I18" s="360">
        <f t="shared" si="1"/>
        <v>-2.3334218082768012E-2</v>
      </c>
    </row>
    <row r="19" spans="1:9">
      <c r="A19" s="590" t="s">
        <v>795</v>
      </c>
      <c r="B19" s="590"/>
      <c r="C19" s="590"/>
      <c r="D19" s="590"/>
      <c r="E19" s="590"/>
      <c r="F19" s="590"/>
      <c r="G19" s="590"/>
      <c r="H19" s="590"/>
      <c r="I19" s="590"/>
    </row>
  </sheetData>
  <mergeCells count="19">
    <mergeCell ref="A19:I19"/>
    <mergeCell ref="H7:I7"/>
    <mergeCell ref="A8:A10"/>
    <mergeCell ref="B8:B9"/>
    <mergeCell ref="E8:E9"/>
    <mergeCell ref="H8:I9"/>
    <mergeCell ref="A7:B7"/>
    <mergeCell ref="C8:C10"/>
    <mergeCell ref="A1:I1"/>
    <mergeCell ref="A2:I2"/>
    <mergeCell ref="A3:I3"/>
    <mergeCell ref="A4:I4"/>
    <mergeCell ref="C11:C18"/>
    <mergeCell ref="F11:F18"/>
    <mergeCell ref="F8:F10"/>
    <mergeCell ref="D8:D10"/>
    <mergeCell ref="G8:G10"/>
    <mergeCell ref="A5:I5"/>
    <mergeCell ref="A6:I6"/>
  </mergeCells>
  <phoneticPr fontId="25" type="noConversion"/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</vt:i4>
      </vt:variant>
    </vt:vector>
  </HeadingPairs>
  <TitlesOfParts>
    <vt:vector size="24" baseType="lpstr">
      <vt:lpstr>Parâmetros</vt:lpstr>
      <vt:lpstr>Projeções</vt:lpstr>
      <vt:lpstr>RCL</vt:lpstr>
      <vt:lpstr>Pessoal</vt:lpstr>
      <vt:lpstr>Dívida</vt:lpstr>
      <vt:lpstr>RPrim-Nom</vt:lpstr>
      <vt:lpstr>Metas Cons</vt:lpstr>
      <vt:lpstr>MetasRPPS</vt:lpstr>
      <vt:lpstr> Avaliação</vt:lpstr>
      <vt:lpstr>Comparação</vt:lpstr>
      <vt:lpstr> Patrimônio</vt:lpstr>
      <vt:lpstr> Alienação</vt:lpstr>
      <vt:lpstr>RPPS-Financeiro</vt:lpstr>
      <vt:lpstr>Renúncia</vt:lpstr>
      <vt:lpstr>DOCC</vt:lpstr>
      <vt:lpstr>DOCC(alternativa)</vt:lpstr>
      <vt:lpstr>Anexo Riscos</vt:lpstr>
      <vt:lpstr>Anexo III - Metas e Prioridades</vt:lpstr>
      <vt:lpstr>Anexo IV - Consdo Patrimônio</vt:lpstr>
      <vt:lpstr>Plan1</vt:lpstr>
      <vt:lpstr>Parâmetros!Area_de_impressao</vt:lpstr>
      <vt:lpstr>Projeções!Area_de_impressao</vt:lpstr>
      <vt:lpstr>'Anexo III - Metas e Prioridades'!OLE_LINK1</vt:lpstr>
      <vt:lpstr>'Anexo III - Metas e Prioridades'!OLE_LINK2</vt:lpstr>
    </vt:vector>
  </TitlesOfParts>
  <Company>DPM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de Metas e Riscos Fiscais</dc:title>
  <dc:creator>Lourenço de Wallau - Deleg de Prefeituras Municipais</dc:creator>
  <cp:lastModifiedBy>marelise</cp:lastModifiedBy>
  <cp:lastPrinted>2018-09-05T14:04:04Z</cp:lastPrinted>
  <dcterms:created xsi:type="dcterms:W3CDTF">2000-07-04T17:38:30Z</dcterms:created>
  <dcterms:modified xsi:type="dcterms:W3CDTF">2018-11-16T18:51:35Z</dcterms:modified>
</cp:coreProperties>
</file>