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Default Extension="doc" ContentType="application/msword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EstaPasta_de_trabalho"/>
  <bookViews>
    <workbookView xWindow="32760" yWindow="32760" windowWidth="20490" windowHeight="6930" tabRatio="602" activeTab="1"/>
  </bookViews>
  <sheets>
    <sheet name="Parâmetros" sheetId="7" r:id="rId1"/>
    <sheet name="Projeções" sheetId="26" r:id="rId2"/>
    <sheet name="RCL" sheetId="45" r:id="rId3"/>
    <sheet name="Pessoal" sheetId="46" r:id="rId4"/>
    <sheet name="Dívida" sheetId="4" r:id="rId5"/>
    <sheet name="RPrim-Nom" sheetId="47" r:id="rId6"/>
    <sheet name="Metas Cons" sheetId="28" r:id="rId7"/>
    <sheet name="MetasRPPS" sheetId="37" r:id="rId8"/>
    <sheet name=" Avaliação" sheetId="29" r:id="rId9"/>
    <sheet name="Comparação" sheetId="30" r:id="rId10"/>
    <sheet name=" Patrimônio" sheetId="31" r:id="rId11"/>
    <sheet name=" Alienação" sheetId="32" r:id="rId12"/>
    <sheet name="RPPS-Financeiro" sheetId="40" r:id="rId13"/>
    <sheet name="Renúncia" sheetId="34" r:id="rId14"/>
    <sheet name="DOCC" sheetId="35" r:id="rId15"/>
    <sheet name="DOCC(alternativa)" sheetId="39" r:id="rId16"/>
    <sheet name="Anexo Riscos" sheetId="44" r:id="rId17"/>
    <sheet name="Anexo III - Metas e Prioridades" sheetId="43" r:id="rId18"/>
    <sheet name="Anexo IV - Consdo Patrimônio" sheetId="42" r:id="rId19"/>
    <sheet name="Plan1" sheetId="48" r:id="rId20"/>
  </sheets>
  <definedNames>
    <definedName name="_xlnm.Print_Area" localSheetId="0">Parâmetros!$A$7:$G$26</definedName>
    <definedName name="_xlnm.Print_Area" localSheetId="1">Projeções!$A$1:$AL$167</definedName>
    <definedName name="OLE_LINK1" localSheetId="17">'Anexo III - Metas e Prioridades'!$A$520</definedName>
    <definedName name="OLE_LINK2" localSheetId="17">'Anexo III - Metas e Prioridades'!$A$1</definedName>
    <definedName name="Z_16B3F100_CCE8_11D8_BD62_000C6E3CD3F1_.wvu.Cols" localSheetId="0" hidden="1">Parâmetros!$C:$C,Parâmetros!#REF!</definedName>
    <definedName name="Z_16B3F100_CCE8_11D8_BD62_000C6E3CD3F1_.wvu.Rows" localSheetId="4" hidden="1">Dívida!$23:$23,Dívida!#REF!</definedName>
    <definedName name="Z_16B3F100_CCE8_11D8_BD62_000C6E3CD3F1_.wvu.Rows" localSheetId="0" hidden="1">Parâmetros!$1:$6,Parâmetros!#REF!,Parâmetros!$12:$12</definedName>
  </definedNames>
  <calcPr calcId="125725"/>
  <customWorkbookViews>
    <customWorkbookView name="Julio - Modo de exibição pessoal" guid="{16B3F100-CCE8-11D8-BD62-000C6E3CD3F1}" mergeInterval="0" personalView="1" maximized="1" windowWidth="796" windowHeight="438" tabRatio="602" activeSheetId="17" showComments="commIndAndComment"/>
  </customWorkbookViews>
</workbook>
</file>

<file path=xl/calcChain.xml><?xml version="1.0" encoding="utf-8"?>
<calcChain xmlns="http://schemas.openxmlformats.org/spreadsheetml/2006/main">
  <c r="N65" i="30"/>
  <c r="N64"/>
  <c r="N63"/>
  <c r="N61"/>
  <c r="N60"/>
  <c r="N59"/>
  <c r="N62" s="1"/>
  <c r="N58"/>
  <c r="N56"/>
  <c r="G136" i="26"/>
  <c r="B11" i="28"/>
  <c r="G127" i="26"/>
  <c r="E97" i="43"/>
  <c r="F141" i="26"/>
  <c r="H140"/>
  <c r="F12" i="34"/>
  <c r="E17" i="43"/>
  <c r="E352"/>
  <c r="G139" i="26" l="1"/>
  <c r="B10" i="31"/>
  <c r="D18"/>
  <c r="Q73" i="40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56"/>
  <c r="Q57"/>
  <c r="Q58"/>
  <c r="Q59"/>
  <c r="Q60"/>
  <c r="Q61"/>
  <c r="Q62"/>
  <c r="Q63"/>
  <c r="Q64"/>
  <c r="Q65"/>
  <c r="Q66"/>
  <c r="Q67"/>
  <c r="Q68"/>
  <c r="Q69"/>
  <c r="Q70"/>
  <c r="Q71"/>
  <c r="Q72"/>
  <c r="Q54"/>
  <c r="S18"/>
  <c r="F104"/>
  <c r="B117"/>
  <c r="B137" s="1"/>
  <c r="F117"/>
  <c r="F137" s="1"/>
  <c r="H95"/>
  <c r="H85" s="1"/>
  <c r="H117" s="1"/>
  <c r="E553" i="43"/>
  <c r="E502"/>
  <c r="E464"/>
  <c r="E383"/>
  <c r="E303"/>
  <c r="E267"/>
  <c r="E225"/>
  <c r="E147"/>
  <c r="E98"/>
  <c r="E55"/>
  <c r="E19"/>
  <c r="H51" i="40"/>
  <c r="H50" s="1"/>
  <c r="H62" s="1"/>
  <c r="F51"/>
  <c r="F50" s="1"/>
  <c r="F62" s="1"/>
  <c r="B51"/>
  <c r="B50" s="1"/>
  <c r="B62" s="1"/>
  <c r="H22"/>
  <c r="H21" s="1"/>
  <c r="H11" s="1"/>
  <c r="H44" s="1"/>
  <c r="F23"/>
  <c r="F22" s="1"/>
  <c r="B23"/>
  <c r="B21" s="1"/>
  <c r="B11" s="1"/>
  <c r="B44" s="1"/>
  <c r="B15" i="29"/>
  <c r="D11" i="4"/>
  <c r="B11"/>
  <c r="C11"/>
  <c r="E101" i="26"/>
  <c r="E42"/>
  <c r="E26"/>
  <c r="E12"/>
  <c r="E10"/>
  <c r="C101"/>
  <c r="C99" s="1"/>
  <c r="C51"/>
  <c r="D50"/>
  <c r="D48"/>
  <c r="D51"/>
  <c r="D26"/>
  <c r="C26"/>
  <c r="D12"/>
  <c r="C12"/>
  <c r="C11"/>
  <c r="D10"/>
  <c r="F12"/>
  <c r="F9"/>
  <c r="F147" s="1"/>
  <c r="F101"/>
  <c r="L27" i="42"/>
  <c r="G18" i="26"/>
  <c r="H18" s="1"/>
  <c r="I18" s="1"/>
  <c r="G19"/>
  <c r="G20"/>
  <c r="H20" s="1"/>
  <c r="I20" s="1"/>
  <c r="G21"/>
  <c r="H21" s="1"/>
  <c r="I21" s="1"/>
  <c r="H22"/>
  <c r="I22" s="1"/>
  <c r="G24"/>
  <c r="H26"/>
  <c r="H28"/>
  <c r="G29"/>
  <c r="H29" s="1"/>
  <c r="I29" s="1"/>
  <c r="G30"/>
  <c r="H30" s="1"/>
  <c r="I30" s="1"/>
  <c r="G31"/>
  <c r="H31" s="1"/>
  <c r="I31" s="1"/>
  <c r="G32"/>
  <c r="H32" s="1"/>
  <c r="I32" s="1"/>
  <c r="G33"/>
  <c r="H33" s="1"/>
  <c r="I33" s="1"/>
  <c r="G34"/>
  <c r="H34" s="1"/>
  <c r="I34" s="1"/>
  <c r="G35"/>
  <c r="H35" s="1"/>
  <c r="I35" s="1"/>
  <c r="G37"/>
  <c r="H37" s="1"/>
  <c r="G38"/>
  <c r="H46"/>
  <c r="I46" s="1"/>
  <c r="G47"/>
  <c r="H47" s="1"/>
  <c r="I47" s="1"/>
  <c r="G48"/>
  <c r="H48" s="1"/>
  <c r="I48" s="1"/>
  <c r="G50"/>
  <c r="H50" s="1"/>
  <c r="I50" s="1"/>
  <c r="G56"/>
  <c r="H56" s="1"/>
  <c r="I56" s="1"/>
  <c r="G57"/>
  <c r="H57" s="1"/>
  <c r="I57" s="1"/>
  <c r="H58"/>
  <c r="I58" s="1"/>
  <c r="G59"/>
  <c r="H59" s="1"/>
  <c r="I59" s="1"/>
  <c r="G60"/>
  <c r="H60" s="1"/>
  <c r="I60" s="1"/>
  <c r="G61"/>
  <c r="H61" s="1"/>
  <c r="I61" s="1"/>
  <c r="G62"/>
  <c r="H62" s="1"/>
  <c r="I62" s="1"/>
  <c r="G64"/>
  <c r="H64" s="1"/>
  <c r="I64" s="1"/>
  <c r="G65"/>
  <c r="H65" s="1"/>
  <c r="I65" s="1"/>
  <c r="H67"/>
  <c r="G69"/>
  <c r="H69" s="1"/>
  <c r="G70"/>
  <c r="H70" s="1"/>
  <c r="I70" s="1"/>
  <c r="G72"/>
  <c r="D10" i="45" s="1"/>
  <c r="G73" i="26"/>
  <c r="H73" s="1"/>
  <c r="I73" s="1"/>
  <c r="G74"/>
  <c r="H74" s="1"/>
  <c r="G75"/>
  <c r="H75" s="1"/>
  <c r="I75" s="1"/>
  <c r="G76"/>
  <c r="H76" s="1"/>
  <c r="I76" s="1"/>
  <c r="G77"/>
  <c r="H77" s="1"/>
  <c r="I77" s="1"/>
  <c r="G100"/>
  <c r="H100" s="1"/>
  <c r="I100" s="1"/>
  <c r="G102"/>
  <c r="H102" s="1"/>
  <c r="I102" s="1"/>
  <c r="G103"/>
  <c r="H103" s="1"/>
  <c r="I103" s="1"/>
  <c r="I79"/>
  <c r="G81"/>
  <c r="H81" s="1"/>
  <c r="G82"/>
  <c r="H82" s="1"/>
  <c r="H83"/>
  <c r="I83" s="1"/>
  <c r="G84"/>
  <c r="H84" s="1"/>
  <c r="I84" s="1"/>
  <c r="G85"/>
  <c r="H85" s="1"/>
  <c r="H87"/>
  <c r="G88"/>
  <c r="H88" s="1"/>
  <c r="I88" s="1"/>
  <c r="G89"/>
  <c r="G90"/>
  <c r="H90" s="1"/>
  <c r="I90" s="1"/>
  <c r="G91"/>
  <c r="H91" s="1"/>
  <c r="I91" s="1"/>
  <c r="G92"/>
  <c r="H92" s="1"/>
  <c r="I92" s="1"/>
  <c r="G93"/>
  <c r="H93" s="1"/>
  <c r="I93" s="1"/>
  <c r="G95"/>
  <c r="H95" s="1"/>
  <c r="G96"/>
  <c r="E17" i="47" s="1"/>
  <c r="G119" i="26"/>
  <c r="G120"/>
  <c r="H120" s="1"/>
  <c r="I120" s="1"/>
  <c r="G121"/>
  <c r="H121" s="1"/>
  <c r="I121" s="1"/>
  <c r="G132"/>
  <c r="H132" s="1"/>
  <c r="I132" s="1"/>
  <c r="G133"/>
  <c r="H133" s="1"/>
  <c r="I133" s="1"/>
  <c r="G134"/>
  <c r="H136"/>
  <c r="I136" s="1"/>
  <c r="G137"/>
  <c r="H137" s="1"/>
  <c r="G138"/>
  <c r="H138" s="1"/>
  <c r="I138" s="1"/>
  <c r="E39" i="47"/>
  <c r="F39" s="1"/>
  <c r="G39" s="1"/>
  <c r="E40"/>
  <c r="F40" s="1"/>
  <c r="G40" s="1"/>
  <c r="E41"/>
  <c r="F41" s="1"/>
  <c r="G41" s="1"/>
  <c r="E42"/>
  <c r="E43"/>
  <c r="E44"/>
  <c r="F44" s="1"/>
  <c r="G44" s="1"/>
  <c r="E45"/>
  <c r="F45" s="1"/>
  <c r="G45" s="1"/>
  <c r="E46"/>
  <c r="F46" s="1"/>
  <c r="E47"/>
  <c r="E48"/>
  <c r="F48" s="1"/>
  <c r="G48" s="1"/>
  <c r="E49"/>
  <c r="E50"/>
  <c r="E51"/>
  <c r="E52"/>
  <c r="E53"/>
  <c r="F53" s="1"/>
  <c r="G53" s="1"/>
  <c r="E54"/>
  <c r="F54" s="1"/>
  <c r="G54" s="1"/>
  <c r="E55"/>
  <c r="F55" s="1"/>
  <c r="G55" s="1"/>
  <c r="E60"/>
  <c r="F60" s="1"/>
  <c r="E61"/>
  <c r="E62"/>
  <c r="F62" s="1"/>
  <c r="G62" s="1"/>
  <c r="E63"/>
  <c r="F63" s="1"/>
  <c r="G63" s="1"/>
  <c r="E64"/>
  <c r="F64" s="1"/>
  <c r="G64" s="1"/>
  <c r="E65"/>
  <c r="E66"/>
  <c r="F66" s="1"/>
  <c r="G66" s="1"/>
  <c r="E67"/>
  <c r="E68"/>
  <c r="F68" s="1"/>
  <c r="G68" s="1"/>
  <c r="E69"/>
  <c r="F69" s="1"/>
  <c r="G69" s="1"/>
  <c r="E70"/>
  <c r="F70" s="1"/>
  <c r="G70" s="1"/>
  <c r="E71"/>
  <c r="E72"/>
  <c r="F72" s="1"/>
  <c r="G72" s="1"/>
  <c r="E73"/>
  <c r="E74"/>
  <c r="E75"/>
  <c r="F75" s="1"/>
  <c r="G75" s="1"/>
  <c r="E76"/>
  <c r="F76" s="1"/>
  <c r="G76" s="1"/>
  <c r="H79" i="26"/>
  <c r="F14" i="47" s="1"/>
  <c r="G79" i="26"/>
  <c r="E14" i="47" s="1"/>
  <c r="E28"/>
  <c r="E14" i="4"/>
  <c r="F14" s="1"/>
  <c r="E13"/>
  <c r="E12"/>
  <c r="F12" s="1"/>
  <c r="E10"/>
  <c r="F10" s="1"/>
  <c r="G10" s="1"/>
  <c r="E9"/>
  <c r="F9" s="1"/>
  <c r="G9" s="1"/>
  <c r="E8"/>
  <c r="F8" s="1"/>
  <c r="D7"/>
  <c r="E17" i="30" s="1"/>
  <c r="C7" i="4"/>
  <c r="E17" i="29" s="1"/>
  <c r="H17" s="1"/>
  <c r="I17" s="1"/>
  <c r="B7" i="4"/>
  <c r="B17" i="30" s="1"/>
  <c r="D11" i="32"/>
  <c r="D12"/>
  <c r="C11"/>
  <c r="C12"/>
  <c r="B11"/>
  <c r="B12"/>
  <c r="B10" s="1"/>
  <c r="D22"/>
  <c r="C10" i="7"/>
  <c r="D10" s="1"/>
  <c r="E10" s="1"/>
  <c r="B21" i="30"/>
  <c r="C21" s="1"/>
  <c r="E21" s="1"/>
  <c r="G21" s="1"/>
  <c r="I21" s="1"/>
  <c r="K21" s="1"/>
  <c r="B9"/>
  <c r="C9" s="1"/>
  <c r="E9" s="1"/>
  <c r="G9" s="1"/>
  <c r="I9" s="1"/>
  <c r="K9" s="1"/>
  <c r="B18" i="4"/>
  <c r="B5"/>
  <c r="C5" s="1"/>
  <c r="D5" s="1"/>
  <c r="E5" s="1"/>
  <c r="F5" s="1"/>
  <c r="G5" s="1"/>
  <c r="B5" i="47"/>
  <c r="B21" s="1"/>
  <c r="D77"/>
  <c r="C77"/>
  <c r="B77"/>
  <c r="D56"/>
  <c r="C56"/>
  <c r="B56"/>
  <c r="E114" i="26"/>
  <c r="C28" i="47"/>
  <c r="C31"/>
  <c r="C9"/>
  <c r="C10"/>
  <c r="C14"/>
  <c r="C15"/>
  <c r="C16"/>
  <c r="C17"/>
  <c r="D9"/>
  <c r="D10"/>
  <c r="D14"/>
  <c r="D15"/>
  <c r="D16"/>
  <c r="D17"/>
  <c r="D28"/>
  <c r="D31"/>
  <c r="D114" i="26"/>
  <c r="C13" i="7" s="1"/>
  <c r="B28" i="47"/>
  <c r="B31"/>
  <c r="B9"/>
  <c r="B10"/>
  <c r="B14"/>
  <c r="B15"/>
  <c r="B16"/>
  <c r="B17"/>
  <c r="F80" i="26"/>
  <c r="E80"/>
  <c r="D80"/>
  <c r="C80"/>
  <c r="C78" s="1"/>
  <c r="F71"/>
  <c r="E71"/>
  <c r="D71"/>
  <c r="C71"/>
  <c r="F68"/>
  <c r="E68"/>
  <c r="E66" s="1"/>
  <c r="D68"/>
  <c r="D66"/>
  <c r="C68"/>
  <c r="F36"/>
  <c r="E36"/>
  <c r="D36"/>
  <c r="C36"/>
  <c r="A1" i="47"/>
  <c r="C7" i="26"/>
  <c r="C112" s="1"/>
  <c r="D112" s="1"/>
  <c r="E112" s="1"/>
  <c r="F112" s="1"/>
  <c r="G112" s="1"/>
  <c r="H112" s="1"/>
  <c r="I112" s="1"/>
  <c r="A3" i="39"/>
  <c r="A3" i="35"/>
  <c r="A3" i="34"/>
  <c r="A3" i="32"/>
  <c r="A3" i="31"/>
  <c r="A3" i="30"/>
  <c r="A3" i="29"/>
  <c r="A3" i="37"/>
  <c r="A108" i="26"/>
  <c r="A107"/>
  <c r="A2"/>
  <c r="A1"/>
  <c r="C9"/>
  <c r="C147" s="1"/>
  <c r="D9"/>
  <c r="D147" s="1"/>
  <c r="E9"/>
  <c r="C15" i="30"/>
  <c r="F122" i="26"/>
  <c r="F159" s="1"/>
  <c r="F114"/>
  <c r="F118"/>
  <c r="D24" i="47" s="1"/>
  <c r="F127" i="26"/>
  <c r="F157" s="1"/>
  <c r="F135"/>
  <c r="F126" s="1"/>
  <c r="D27" i="47" s="1"/>
  <c r="D32" s="1"/>
  <c r="F131" i="26"/>
  <c r="F16"/>
  <c r="F15" s="1"/>
  <c r="F25"/>
  <c r="D8" i="47" s="1"/>
  <c r="F40" i="26"/>
  <c r="F39" s="1"/>
  <c r="F51"/>
  <c r="F86"/>
  <c r="F94"/>
  <c r="C13" i="45"/>
  <c r="E118" i="26"/>
  <c r="C24" i="47"/>
  <c r="E122" i="26"/>
  <c r="E127"/>
  <c r="E126" s="1"/>
  <c r="E131"/>
  <c r="E135"/>
  <c r="D122"/>
  <c r="C14" i="7" s="1"/>
  <c r="D118" i="26"/>
  <c r="B24" i="47" s="1"/>
  <c r="D127" i="26"/>
  <c r="D131"/>
  <c r="D135"/>
  <c r="C122"/>
  <c r="C159" s="1"/>
  <c r="C114"/>
  <c r="C118"/>
  <c r="C127"/>
  <c r="C131"/>
  <c r="C126" s="1"/>
  <c r="C135"/>
  <c r="D22" i="4"/>
  <c r="C22"/>
  <c r="B22"/>
  <c r="D21"/>
  <c r="C21"/>
  <c r="B21"/>
  <c r="A1" i="46"/>
  <c r="C18" i="30"/>
  <c r="C30" s="1"/>
  <c r="C17"/>
  <c r="C16"/>
  <c r="C28" s="1"/>
  <c r="C14"/>
  <c r="D14" s="1"/>
  <c r="C13"/>
  <c r="D13"/>
  <c r="C12"/>
  <c r="C24" s="1"/>
  <c r="C11"/>
  <c r="F11" s="1"/>
  <c r="C5" i="45"/>
  <c r="D5" s="1"/>
  <c r="E5" s="1"/>
  <c r="F5" s="1"/>
  <c r="B8"/>
  <c r="B9"/>
  <c r="B10"/>
  <c r="B11"/>
  <c r="G98" i="26"/>
  <c r="K21" i="28"/>
  <c r="K20"/>
  <c r="K19"/>
  <c r="G21"/>
  <c r="G20"/>
  <c r="G19"/>
  <c r="C21"/>
  <c r="C20"/>
  <c r="C19"/>
  <c r="C8" i="45"/>
  <c r="C9"/>
  <c r="C10"/>
  <c r="C11"/>
  <c r="C40" i="26"/>
  <c r="C39" s="1"/>
  <c r="D40"/>
  <c r="D39" s="1"/>
  <c r="E40"/>
  <c r="E51"/>
  <c r="E39" s="1"/>
  <c r="B12" i="45"/>
  <c r="D101" i="26"/>
  <c r="D99" s="1"/>
  <c r="A2" i="45"/>
  <c r="A1"/>
  <c r="D20" i="4"/>
  <c r="C20"/>
  <c r="B20"/>
  <c r="E16" i="26"/>
  <c r="E15" s="1"/>
  <c r="D16"/>
  <c r="D15"/>
  <c r="C16"/>
  <c r="C15" s="1"/>
  <c r="E25"/>
  <c r="E23" s="1"/>
  <c r="E86"/>
  <c r="E94"/>
  <c r="D25"/>
  <c r="B8" i="47" s="1"/>
  <c r="D86" i="26"/>
  <c r="D94"/>
  <c r="C94"/>
  <c r="C86"/>
  <c r="C25"/>
  <c r="C23" s="1"/>
  <c r="H27" i="42"/>
  <c r="A1" i="44"/>
  <c r="A1" i="32"/>
  <c r="D18"/>
  <c r="C18"/>
  <c r="C22"/>
  <c r="B18"/>
  <c r="B22"/>
  <c r="A1" i="29"/>
  <c r="E150" i="26"/>
  <c r="F25" i="31"/>
  <c r="F24"/>
  <c r="F23"/>
  <c r="D25"/>
  <c r="D24"/>
  <c r="F12"/>
  <c r="D9" s="1"/>
  <c r="F19"/>
  <c r="G19" s="1"/>
  <c r="B25"/>
  <c r="A1"/>
  <c r="E28" i="30"/>
  <c r="E23"/>
  <c r="B28"/>
  <c r="A1"/>
  <c r="G154" i="26"/>
  <c r="C18" i="4"/>
  <c r="D18" s="1"/>
  <c r="E18" s="1"/>
  <c r="F18" s="1"/>
  <c r="G18" s="1"/>
  <c r="A1"/>
  <c r="A1" i="35"/>
  <c r="B20" i="39"/>
  <c r="A1"/>
  <c r="A1" i="28"/>
  <c r="A1" i="37"/>
  <c r="D154" i="26"/>
  <c r="C148"/>
  <c r="C161"/>
  <c r="C162"/>
  <c r="C163" s="1"/>
  <c r="I161"/>
  <c r="I162"/>
  <c r="G161"/>
  <c r="G162"/>
  <c r="G163" s="1"/>
  <c r="F148"/>
  <c r="F161"/>
  <c r="F162"/>
  <c r="F163" s="1"/>
  <c r="E148"/>
  <c r="E161"/>
  <c r="E162"/>
  <c r="E163" s="1"/>
  <c r="D148"/>
  <c r="D161"/>
  <c r="D162"/>
  <c r="D163" s="1"/>
  <c r="I160"/>
  <c r="G160"/>
  <c r="F160"/>
  <c r="E160"/>
  <c r="D160"/>
  <c r="C160"/>
  <c r="I158"/>
  <c r="G158"/>
  <c r="F158"/>
  <c r="E158"/>
  <c r="D158"/>
  <c r="C158"/>
  <c r="I156"/>
  <c r="G156"/>
  <c r="F156"/>
  <c r="E156"/>
  <c r="D156"/>
  <c r="C156"/>
  <c r="F154"/>
  <c r="E154"/>
  <c r="C154"/>
  <c r="I153"/>
  <c r="G153"/>
  <c r="F153"/>
  <c r="E153"/>
  <c r="D153"/>
  <c r="C153"/>
  <c r="I152"/>
  <c r="G152"/>
  <c r="F152"/>
  <c r="E152"/>
  <c r="D152"/>
  <c r="C152"/>
  <c r="I151"/>
  <c r="G151"/>
  <c r="F151"/>
  <c r="E151"/>
  <c r="D151"/>
  <c r="C151"/>
  <c r="I150"/>
  <c r="G150"/>
  <c r="F150"/>
  <c r="D150"/>
  <c r="C150"/>
  <c r="I149"/>
  <c r="G149"/>
  <c r="F149"/>
  <c r="E149"/>
  <c r="D149"/>
  <c r="C149"/>
  <c r="F143"/>
  <c r="E143"/>
  <c r="D143"/>
  <c r="B24" i="34"/>
  <c r="E11" s="1"/>
  <c r="B25"/>
  <c r="D18"/>
  <c r="A1"/>
  <c r="A1" i="40"/>
  <c r="B23" i="30"/>
  <c r="H16" i="29"/>
  <c r="I16" s="1"/>
  <c r="E25" i="30"/>
  <c r="B25"/>
  <c r="E26"/>
  <c r="I154" i="26"/>
  <c r="B24" i="30"/>
  <c r="D24" s="1"/>
  <c r="B26"/>
  <c r="E15"/>
  <c r="E24"/>
  <c r="E27" s="1"/>
  <c r="F14"/>
  <c r="B15"/>
  <c r="D15" s="1"/>
  <c r="D11" i="45"/>
  <c r="E14" i="34"/>
  <c r="C5" i="47"/>
  <c r="D5" s="1"/>
  <c r="E5" s="1"/>
  <c r="F5" s="1"/>
  <c r="G5" s="1"/>
  <c r="D17" i="32"/>
  <c r="B17"/>
  <c r="C29" i="30"/>
  <c r="F13"/>
  <c r="C25"/>
  <c r="F25" s="1"/>
  <c r="F71" i="47"/>
  <c r="G71" s="1"/>
  <c r="F67"/>
  <c r="G67"/>
  <c r="C15" i="4"/>
  <c r="E18" i="29" s="1"/>
  <c r="H18" s="1"/>
  <c r="I18" s="1"/>
  <c r="C157" i="26"/>
  <c r="E159"/>
  <c r="F78"/>
  <c r="D13" i="47" s="1"/>
  <c r="D10" i="32"/>
  <c r="D26" s="1"/>
  <c r="F23" i="26"/>
  <c r="C20" i="7"/>
  <c r="E113" i="26"/>
  <c r="C23" i="47" s="1"/>
  <c r="C25" s="1"/>
  <c r="G18" i="31"/>
  <c r="C16" i="7"/>
  <c r="D13"/>
  <c r="F13" i="4"/>
  <c r="G13" s="1"/>
  <c r="G36" i="26"/>
  <c r="H38"/>
  <c r="I38" s="1"/>
  <c r="B17" i="7"/>
  <c r="B22" i="31"/>
  <c r="D22" s="1"/>
  <c r="F22" s="1"/>
  <c r="H27" i="26"/>
  <c r="I27" s="1"/>
  <c r="E9" i="47"/>
  <c r="F51"/>
  <c r="G51" s="1"/>
  <c r="H89" i="26"/>
  <c r="I89" s="1"/>
  <c r="E99"/>
  <c r="E147"/>
  <c r="H119"/>
  <c r="I119" s="1"/>
  <c r="H96"/>
  <c r="I96" s="1"/>
  <c r="G17" i="47" s="1"/>
  <c r="B13" i="45"/>
  <c r="C17" i="7"/>
  <c r="F66" i="26"/>
  <c r="B16" i="7"/>
  <c r="E16" s="1"/>
  <c r="F99" i="26"/>
  <c r="C12" i="45"/>
  <c r="F9" i="47"/>
  <c r="E11" i="45"/>
  <c r="I28" i="26"/>
  <c r="G9" i="47" s="1"/>
  <c r="B20" i="7"/>
  <c r="D126" i="26"/>
  <c r="B27" i="47" s="1"/>
  <c r="D159" i="26"/>
  <c r="G17" i="31"/>
  <c r="G16"/>
  <c r="D16"/>
  <c r="D19" s="1"/>
  <c r="G9"/>
  <c r="G11"/>
  <c r="G10"/>
  <c r="G12"/>
  <c r="F15" i="30"/>
  <c r="D15" i="4"/>
  <c r="E18" i="30" s="1"/>
  <c r="F18" s="1"/>
  <c r="F21" i="40"/>
  <c r="F11" s="1"/>
  <c r="F44" s="1"/>
  <c r="B22"/>
  <c r="F26" i="31"/>
  <c r="G24" s="1"/>
  <c r="B24"/>
  <c r="B32" i="47" l="1"/>
  <c r="F16"/>
  <c r="C23" i="30"/>
  <c r="F23" s="1"/>
  <c r="E17" i="7"/>
  <c r="D11" i="30"/>
  <c r="F14" i="34"/>
  <c r="C27" i="47"/>
  <c r="C32" s="1"/>
  <c r="E141" i="26"/>
  <c r="E13" i="29" s="1"/>
  <c r="B64" i="40"/>
  <c r="F64"/>
  <c r="B15" i="7"/>
  <c r="E17" i="34"/>
  <c r="F17" s="1"/>
  <c r="E7" i="4"/>
  <c r="F113" i="26"/>
  <c r="F155" s="1"/>
  <c r="E13" i="34"/>
  <c r="F13" s="1"/>
  <c r="E78" i="26"/>
  <c r="C13" i="47" s="1"/>
  <c r="C18" s="1"/>
  <c r="B15" i="32"/>
  <c r="C15" s="1"/>
  <c r="D15" s="1"/>
  <c r="D113" i="26"/>
  <c r="B23" i="47" s="1"/>
  <c r="B25" s="1"/>
  <c r="B33" s="1"/>
  <c r="G135" i="26"/>
  <c r="G126" s="1"/>
  <c r="G14" i="4"/>
  <c r="B14" i="7"/>
  <c r="C8" i="47"/>
  <c r="B15" i="31"/>
  <c r="D15" s="1"/>
  <c r="F15" s="1"/>
  <c r="D23" i="26"/>
  <c r="E11" i="4"/>
  <c r="F16" i="30"/>
  <c r="D12"/>
  <c r="I163" i="26"/>
  <c r="C17" i="32"/>
  <c r="B8"/>
  <c r="C8" s="1"/>
  <c r="D8" s="1"/>
  <c r="C10"/>
  <c r="C113" i="26"/>
  <c r="C141" s="1"/>
  <c r="C155" s="1"/>
  <c r="B15" i="4"/>
  <c r="B18" i="30" s="1"/>
  <c r="D18" s="1"/>
  <c r="E15" i="34"/>
  <c r="B27" i="30"/>
  <c r="D78" i="26"/>
  <c r="B13" i="47" s="1"/>
  <c r="B13" i="7"/>
  <c r="E13" s="1"/>
  <c r="C66" i="26"/>
  <c r="B10" i="40"/>
  <c r="I118" i="26"/>
  <c r="G24" i="47" s="1"/>
  <c r="C7" i="45"/>
  <c r="E31" i="47"/>
  <c r="G80" i="26"/>
  <c r="E10" i="47"/>
  <c r="G94" i="26"/>
  <c r="D18" i="47"/>
  <c r="F11" i="34"/>
  <c r="B18" i="47"/>
  <c r="H68" i="26"/>
  <c r="G86"/>
  <c r="E22" i="4"/>
  <c r="E56" i="47"/>
  <c r="G68" i="26"/>
  <c r="G66" s="1"/>
  <c r="H118"/>
  <c r="F24" i="47" s="1"/>
  <c r="D7" i="26"/>
  <c r="E7" s="1"/>
  <c r="F7" s="1"/>
  <c r="G7" s="1"/>
  <c r="H7" s="1"/>
  <c r="I7" s="1"/>
  <c r="E15" i="47"/>
  <c r="K21" i="31"/>
  <c r="E19"/>
  <c r="E17"/>
  <c r="E16"/>
  <c r="B16"/>
  <c r="B19" s="1"/>
  <c r="C19" s="1"/>
  <c r="E18"/>
  <c r="E29" i="30"/>
  <c r="F17"/>
  <c r="F11" i="4"/>
  <c r="G12"/>
  <c r="G11" s="1"/>
  <c r="G15" s="1"/>
  <c r="J18" i="28" s="1"/>
  <c r="D12" i="31"/>
  <c r="D23"/>
  <c r="D26" s="1"/>
  <c r="I37" i="26"/>
  <c r="I36" s="1"/>
  <c r="H36"/>
  <c r="H64" i="40"/>
  <c r="G8" i="4"/>
  <c r="G7" s="1"/>
  <c r="J17" i="28" s="1"/>
  <c r="F7" i="4"/>
  <c r="F17" i="28" s="1"/>
  <c r="B17"/>
  <c r="D8" i="26"/>
  <c r="E157"/>
  <c r="D20" i="7"/>
  <c r="E20" s="1"/>
  <c r="G26" i="31"/>
  <c r="F17" i="47"/>
  <c r="C33"/>
  <c r="E8" i="26"/>
  <c r="C7" i="47" s="1"/>
  <c r="G25" i="31"/>
  <c r="D141" i="26"/>
  <c r="D155" s="1"/>
  <c r="E155"/>
  <c r="D23" i="47"/>
  <c r="D25" s="1"/>
  <c r="D33" s="1"/>
  <c r="E16" i="34"/>
  <c r="F16" s="1"/>
  <c r="F15"/>
  <c r="D157" i="26"/>
  <c r="B8" i="31"/>
  <c r="D8" s="1"/>
  <c r="F8" s="1"/>
  <c r="C26" i="32"/>
  <c r="B26" s="1"/>
  <c r="E16" i="47"/>
  <c r="F11" i="45"/>
  <c r="F8" i="26"/>
  <c r="K18" i="28"/>
  <c r="K30" i="30" s="1"/>
  <c r="K18"/>
  <c r="E164" i="26"/>
  <c r="E165" s="1"/>
  <c r="B6" i="45"/>
  <c r="E146" i="26"/>
  <c r="E105"/>
  <c r="E11" i="29" s="1"/>
  <c r="D17" i="30"/>
  <c r="B29"/>
  <c r="D29" s="1"/>
  <c r="C8" i="26"/>
  <c r="F10" i="7"/>
  <c r="B8" i="37"/>
  <c r="E8" s="1"/>
  <c r="H8" s="1"/>
  <c r="B6" i="46"/>
  <c r="D10" i="34"/>
  <c r="E10" s="1"/>
  <c r="F10" s="1"/>
  <c r="B14" i="46"/>
  <c r="B7" i="28"/>
  <c r="F7" s="1"/>
  <c r="J7" s="1"/>
  <c r="F146" i="26"/>
  <c r="F164"/>
  <c r="F165" s="1"/>
  <c r="C6" i="45"/>
  <c r="D7" i="47"/>
  <c r="D11" s="1"/>
  <c r="F105" i="26"/>
  <c r="B37" i="47"/>
  <c r="C37" s="1"/>
  <c r="D37" s="1"/>
  <c r="E37" s="1"/>
  <c r="F37" s="1"/>
  <c r="G37" s="1"/>
  <c r="C21"/>
  <c r="D21" s="1"/>
  <c r="E21" s="1"/>
  <c r="F21" s="1"/>
  <c r="G21" s="1"/>
  <c r="D164" i="26"/>
  <c r="D165" s="1"/>
  <c r="D105"/>
  <c r="D146"/>
  <c r="B7" i="47"/>
  <c r="B11" s="1"/>
  <c r="B19" s="1"/>
  <c r="D23" i="30"/>
  <c r="B7" i="45"/>
  <c r="E77" i="47"/>
  <c r="H80" i="26"/>
  <c r="G148"/>
  <c r="C17" i="31"/>
  <c r="G23"/>
  <c r="E25"/>
  <c r="E12"/>
  <c r="K12"/>
  <c r="E30" i="30"/>
  <c r="F30" s="1"/>
  <c r="C26"/>
  <c r="C15" i="7"/>
  <c r="E15" s="1"/>
  <c r="F15" s="1"/>
  <c r="G15" s="1"/>
  <c r="G131" i="26"/>
  <c r="G25"/>
  <c r="E8" i="47" s="1"/>
  <c r="C16" i="31"/>
  <c r="E9"/>
  <c r="E14" i="7"/>
  <c r="G124" i="26" s="1"/>
  <c r="C18" i="31"/>
  <c r="F29" i="30"/>
  <c r="D25"/>
  <c r="F28"/>
  <c r="G118" i="26"/>
  <c r="E24" i="47" s="1"/>
  <c r="F10"/>
  <c r="B14" i="45"/>
  <c r="G13" i="29" s="1"/>
  <c r="D28" i="30"/>
  <c r="H135" i="26"/>
  <c r="G53"/>
  <c r="G54"/>
  <c r="I137"/>
  <c r="I135" s="1"/>
  <c r="F22" i="4"/>
  <c r="F15" i="47"/>
  <c r="I85" i="26"/>
  <c r="G15" i="47" s="1"/>
  <c r="I67" i="26"/>
  <c r="I26"/>
  <c r="I25" s="1"/>
  <c r="G8" i="47" s="1"/>
  <c r="H25" i="26"/>
  <c r="F8" i="47" s="1"/>
  <c r="C27" i="30"/>
  <c r="F27" s="1"/>
  <c r="F24"/>
  <c r="I95" i="26"/>
  <c r="I94" s="1"/>
  <c r="H94"/>
  <c r="I87"/>
  <c r="I86" s="1"/>
  <c r="H86"/>
  <c r="H13" i="29"/>
  <c r="I13" s="1"/>
  <c r="E14"/>
  <c r="F17" i="7"/>
  <c r="G21" i="4"/>
  <c r="E18" i="34"/>
  <c r="D16" i="30"/>
  <c r="F12"/>
  <c r="F74" i="47"/>
  <c r="G74" s="1"/>
  <c r="F61"/>
  <c r="G61" s="1"/>
  <c r="F52"/>
  <c r="G52" s="1"/>
  <c r="F50"/>
  <c r="G50" s="1"/>
  <c r="F47"/>
  <c r="G47" s="1"/>
  <c r="H134" i="26"/>
  <c r="I134" s="1"/>
  <c r="I131" s="1"/>
  <c r="E21" i="4"/>
  <c r="I82" i="26"/>
  <c r="G14" i="47"/>
  <c r="H72" i="26"/>
  <c r="I69"/>
  <c r="I68" s="1"/>
  <c r="H24"/>
  <c r="H19"/>
  <c r="I19" s="1"/>
  <c r="I148" s="1"/>
  <c r="G31" i="47"/>
  <c r="F31"/>
  <c r="F21" i="4"/>
  <c r="G28" i="47"/>
  <c r="I81" i="26"/>
  <c r="F28" i="47"/>
  <c r="F43"/>
  <c r="G43" s="1"/>
  <c r="F18" i="34"/>
  <c r="F73" i="47"/>
  <c r="G73" s="1"/>
  <c r="F65"/>
  <c r="G65" s="1"/>
  <c r="G60"/>
  <c r="F49"/>
  <c r="G49" s="1"/>
  <c r="G46"/>
  <c r="F42"/>
  <c r="I74" i="26"/>
  <c r="G43"/>
  <c r="G42"/>
  <c r="G44"/>
  <c r="F16" i="7"/>
  <c r="G16" s="1"/>
  <c r="G49" i="26"/>
  <c r="G55"/>
  <c r="G117" l="1"/>
  <c r="B35" i="47"/>
  <c r="B79" s="1"/>
  <c r="B30" i="30"/>
  <c r="D30" s="1"/>
  <c r="C11" i="47"/>
  <c r="C19" s="1"/>
  <c r="H53" i="26"/>
  <c r="G78"/>
  <c r="E13" i="47" s="1"/>
  <c r="E18" s="1"/>
  <c r="F10" i="40"/>
  <c r="B46"/>
  <c r="B69" s="1"/>
  <c r="B72" s="1"/>
  <c r="B78" s="1"/>
  <c r="B84" s="1"/>
  <c r="B119" s="1"/>
  <c r="B139" s="1"/>
  <c r="G10" i="47"/>
  <c r="E15" i="4"/>
  <c r="B18" i="28" s="1"/>
  <c r="G17" i="26"/>
  <c r="G16" s="1"/>
  <c r="G15" s="1"/>
  <c r="F56" i="47"/>
  <c r="G97" i="26"/>
  <c r="C35" i="47"/>
  <c r="C79" s="1"/>
  <c r="G17" i="29"/>
  <c r="F13" i="7"/>
  <c r="H116" i="26" s="1"/>
  <c r="C14" i="45"/>
  <c r="D19" i="47"/>
  <c r="D35" s="1"/>
  <c r="D79" s="1"/>
  <c r="I17" i="30"/>
  <c r="G17" i="28"/>
  <c r="I29" i="30" s="1"/>
  <c r="F15" i="4"/>
  <c r="F18" i="28" s="1"/>
  <c r="G17" i="30"/>
  <c r="C17" i="28"/>
  <c r="G29" i="30" s="1"/>
  <c r="B9" i="31"/>
  <c r="E10"/>
  <c r="B58" i="47"/>
  <c r="C58" s="1"/>
  <c r="D58" s="1"/>
  <c r="E58" s="1"/>
  <c r="F58" s="1"/>
  <c r="G58" s="1"/>
  <c r="H29" i="30"/>
  <c r="K17" i="28"/>
  <c r="K29" i="30" s="1"/>
  <c r="K17"/>
  <c r="E24" i="31"/>
  <c r="E26"/>
  <c r="E23"/>
  <c r="H54" i="26"/>
  <c r="G23"/>
  <c r="G17" i="7"/>
  <c r="F14"/>
  <c r="G14" s="1"/>
  <c r="G125" i="26"/>
  <c r="H125" s="1"/>
  <c r="I125" s="1"/>
  <c r="F20" i="7"/>
  <c r="G130" i="26"/>
  <c r="H123"/>
  <c r="D26" i="30"/>
  <c r="F26"/>
  <c r="H11" i="29"/>
  <c r="I11" s="1"/>
  <c r="E12"/>
  <c r="C14" i="46"/>
  <c r="G10" i="7"/>
  <c r="C6" i="46"/>
  <c r="H131" i="26"/>
  <c r="F77" i="47"/>
  <c r="C164" i="26"/>
  <c r="C165" s="1"/>
  <c r="C146"/>
  <c r="C105"/>
  <c r="D27" i="30"/>
  <c r="H78" i="26"/>
  <c r="F13" i="47" s="1"/>
  <c r="F18" s="1"/>
  <c r="G42"/>
  <c r="G56" s="1"/>
  <c r="G114" i="26"/>
  <c r="B19" i="35" s="1"/>
  <c r="G16" i="47"/>
  <c r="I80" i="26"/>
  <c r="I78" s="1"/>
  <c r="G13" i="47" s="1"/>
  <c r="G77"/>
  <c r="G22" i="4"/>
  <c r="I24" i="26"/>
  <c r="I23" s="1"/>
  <c r="H23"/>
  <c r="H55"/>
  <c r="I55" s="1"/>
  <c r="I72"/>
  <c r="E10" i="45"/>
  <c r="H66" i="26"/>
  <c r="H14" i="29"/>
  <c r="I14" s="1"/>
  <c r="E15"/>
  <c r="G14"/>
  <c r="D18"/>
  <c r="D16"/>
  <c r="D12"/>
  <c r="D13"/>
  <c r="D11"/>
  <c r="D14"/>
  <c r="G16"/>
  <c r="G11"/>
  <c r="D17"/>
  <c r="D15"/>
  <c r="G18"/>
  <c r="H52" i="26"/>
  <c r="G51"/>
  <c r="H63"/>
  <c r="G11"/>
  <c r="H11" s="1"/>
  <c r="I11" s="1"/>
  <c r="G12"/>
  <c r="H12" s="1"/>
  <c r="I12" s="1"/>
  <c r="G14"/>
  <c r="H14" s="1"/>
  <c r="I14" s="1"/>
  <c r="G13"/>
  <c r="H13" s="1"/>
  <c r="I13" s="1"/>
  <c r="G10"/>
  <c r="I53"/>
  <c r="H43"/>
  <c r="I43" s="1"/>
  <c r="H42"/>
  <c r="I42" s="1"/>
  <c r="H49"/>
  <c r="I49" s="1"/>
  <c r="H44"/>
  <c r="I44" s="1"/>
  <c r="G40"/>
  <c r="G101"/>
  <c r="H41"/>
  <c r="H45"/>
  <c r="I45" s="1"/>
  <c r="H124" l="1"/>
  <c r="I124" s="1"/>
  <c r="C18" i="28"/>
  <c r="G30" i="30" s="1"/>
  <c r="H30" s="1"/>
  <c r="G18"/>
  <c r="H18" s="1"/>
  <c r="F46" i="40"/>
  <c r="F69" s="1"/>
  <c r="F72" s="1"/>
  <c r="F78" s="1"/>
  <c r="F84" s="1"/>
  <c r="F119" s="1"/>
  <c r="F139" s="1"/>
  <c r="H10"/>
  <c r="H46" s="1"/>
  <c r="H69" s="1"/>
  <c r="H72" s="1"/>
  <c r="H78" s="1"/>
  <c r="H84" s="1"/>
  <c r="H119" s="1"/>
  <c r="H139" s="1"/>
  <c r="H51" i="26"/>
  <c r="I54"/>
  <c r="B12" i="37"/>
  <c r="H115" i="26"/>
  <c r="D9" i="45"/>
  <c r="H117" i="26"/>
  <c r="G13" i="7"/>
  <c r="I116" i="26" s="1"/>
  <c r="H17"/>
  <c r="H97"/>
  <c r="J29" i="30"/>
  <c r="L17"/>
  <c r="B12" i="31"/>
  <c r="B23"/>
  <c r="B26" s="1"/>
  <c r="L29" i="30"/>
  <c r="I18"/>
  <c r="G18" i="28"/>
  <c r="I30" i="30" s="1"/>
  <c r="H17"/>
  <c r="J17"/>
  <c r="H130" i="26"/>
  <c r="G157"/>
  <c r="I52"/>
  <c r="I51" s="1"/>
  <c r="I123"/>
  <c r="I122" s="1"/>
  <c r="I159" s="1"/>
  <c r="B14" i="37"/>
  <c r="B15" s="1"/>
  <c r="H128" i="26"/>
  <c r="G20" i="7"/>
  <c r="H129" i="26"/>
  <c r="G122"/>
  <c r="D14" i="46"/>
  <c r="D6"/>
  <c r="H12" i="29"/>
  <c r="I12" s="1"/>
  <c r="G12"/>
  <c r="G18" i="47"/>
  <c r="G15" i="29"/>
  <c r="H15"/>
  <c r="I15" s="1"/>
  <c r="F10" i="45"/>
  <c r="I66" i="26"/>
  <c r="G39"/>
  <c r="B11" i="35" s="1"/>
  <c r="G99" i="26"/>
  <c r="D12" i="45"/>
  <c r="B13" i="35"/>
  <c r="G9" i="26"/>
  <c r="H10"/>
  <c r="D8" i="45"/>
  <c r="D13"/>
  <c r="I63" i="26"/>
  <c r="I41"/>
  <c r="H40"/>
  <c r="H39" s="1"/>
  <c r="H101"/>
  <c r="E27" i="47"/>
  <c r="E32" s="1"/>
  <c r="I130" i="26" l="1"/>
  <c r="H122"/>
  <c r="I115"/>
  <c r="D7" i="45"/>
  <c r="H114" i="26"/>
  <c r="C12" i="37"/>
  <c r="B13"/>
  <c r="C13" s="1"/>
  <c r="I117" i="26"/>
  <c r="I97"/>
  <c r="E14" i="37"/>
  <c r="E15" s="1"/>
  <c r="F15" s="1"/>
  <c r="E9" i="45"/>
  <c r="E12" i="37"/>
  <c r="H16" i="26"/>
  <c r="H15" s="1"/>
  <c r="I17"/>
  <c r="L18" i="30"/>
  <c r="J18"/>
  <c r="L30"/>
  <c r="J30"/>
  <c r="C12" i="31"/>
  <c r="C10"/>
  <c r="C11"/>
  <c r="C9"/>
  <c r="C26"/>
  <c r="C25"/>
  <c r="C23"/>
  <c r="C24"/>
  <c r="I128" i="26"/>
  <c r="C14" i="37"/>
  <c r="I129" i="26"/>
  <c r="G113"/>
  <c r="G141" s="1"/>
  <c r="G159"/>
  <c r="B20" i="35"/>
  <c r="B18" s="1"/>
  <c r="H126" i="26"/>
  <c r="F27" i="47" s="1"/>
  <c r="F32" s="1"/>
  <c r="E12" i="45"/>
  <c r="H99" i="26"/>
  <c r="G8"/>
  <c r="B10" i="35"/>
  <c r="B9" s="1"/>
  <c r="B14" s="1"/>
  <c r="B16" s="1"/>
  <c r="G147" i="26"/>
  <c r="I10"/>
  <c r="H9"/>
  <c r="H8" s="1"/>
  <c r="E8" i="45"/>
  <c r="I40" i="26"/>
  <c r="I39" s="1"/>
  <c r="I101"/>
  <c r="F13" i="45" s="1"/>
  <c r="B16" i="37"/>
  <c r="C15"/>
  <c r="E13" i="45"/>
  <c r="E23" i="47" l="1"/>
  <c r="B13" i="28" s="1"/>
  <c r="G13" i="30" s="1"/>
  <c r="H113" i="26"/>
  <c r="F23" i="47" s="1"/>
  <c r="F25" s="1"/>
  <c r="F33" s="1"/>
  <c r="F14" i="28" s="1"/>
  <c r="I114" i="26"/>
  <c r="I113" s="1"/>
  <c r="G23" i="47" s="1"/>
  <c r="C16" i="37"/>
  <c r="H12"/>
  <c r="I16" i="26"/>
  <c r="I15" s="1"/>
  <c r="F9" i="45"/>
  <c r="I140" i="26"/>
  <c r="H14" i="37" s="1"/>
  <c r="E13"/>
  <c r="F12"/>
  <c r="F14"/>
  <c r="I126" i="26"/>
  <c r="G27" i="47" s="1"/>
  <c r="G32" s="1"/>
  <c r="I157" i="26"/>
  <c r="B22" i="35"/>
  <c r="E7" i="45"/>
  <c r="H105" i="26"/>
  <c r="H139" s="1"/>
  <c r="F7" i="47"/>
  <c r="E6" i="45"/>
  <c r="G146" i="26"/>
  <c r="D6" i="45"/>
  <c r="D14" s="1"/>
  <c r="E7" i="47"/>
  <c r="G105" i="26"/>
  <c r="G155" s="1"/>
  <c r="G164"/>
  <c r="G165" s="1"/>
  <c r="I9"/>
  <c r="F8" i="45"/>
  <c r="I99" i="26"/>
  <c r="F12" i="45"/>
  <c r="C13" i="28" l="1"/>
  <c r="G25" i="30" s="1"/>
  <c r="H25" s="1"/>
  <c r="E13" i="28"/>
  <c r="H141" i="26"/>
  <c r="E25" i="47"/>
  <c r="E33" s="1"/>
  <c r="B14" i="28" s="1"/>
  <c r="C14" s="1"/>
  <c r="G26" i="30" s="1"/>
  <c r="H26" s="1"/>
  <c r="J13" i="28"/>
  <c r="K13" i="30" s="1"/>
  <c r="F13" i="28"/>
  <c r="I13" i="30" s="1"/>
  <c r="G14" i="28"/>
  <c r="I26" i="30" s="1"/>
  <c r="I14"/>
  <c r="G25" i="47"/>
  <c r="G33" s="1"/>
  <c r="J14" i="28" s="1"/>
  <c r="K14" s="1"/>
  <c r="K26" i="30" s="1"/>
  <c r="F13" i="37"/>
  <c r="F16" s="1"/>
  <c r="E16"/>
  <c r="H15"/>
  <c r="I15" s="1"/>
  <c r="I14"/>
  <c r="H13"/>
  <c r="I12"/>
  <c r="E14" i="45"/>
  <c r="F7"/>
  <c r="I147" i="26"/>
  <c r="I8"/>
  <c r="B17" i="46"/>
  <c r="E18" i="28"/>
  <c r="E21"/>
  <c r="B7" i="46"/>
  <c r="E20" i="28"/>
  <c r="B15" i="46"/>
  <c r="B8"/>
  <c r="E17" i="28"/>
  <c r="B16" i="46"/>
  <c r="B9"/>
  <c r="E19" i="28"/>
  <c r="E11" i="47"/>
  <c r="E19" s="1"/>
  <c r="F11"/>
  <c r="F19" s="1"/>
  <c r="F11" i="28"/>
  <c r="H13" i="30"/>
  <c r="J13"/>
  <c r="I17" i="28"/>
  <c r="L13" i="30" l="1"/>
  <c r="K13" i="28"/>
  <c r="K25" i="30" s="1"/>
  <c r="J26"/>
  <c r="E14" i="28"/>
  <c r="G13"/>
  <c r="I25" i="30" s="1"/>
  <c r="J25" s="1"/>
  <c r="G14"/>
  <c r="I13" i="28"/>
  <c r="L26" i="30"/>
  <c r="I20" i="28"/>
  <c r="K14" i="30"/>
  <c r="L14" s="1"/>
  <c r="I13" i="37"/>
  <c r="I16" s="1"/>
  <c r="H16"/>
  <c r="I21" i="28"/>
  <c r="C9" i="46"/>
  <c r="I18" i="28"/>
  <c r="C7" i="46"/>
  <c r="I19" i="28"/>
  <c r="C8" i="46"/>
  <c r="C17"/>
  <c r="I14" i="28"/>
  <c r="C15" i="46"/>
  <c r="C16"/>
  <c r="F12" i="28"/>
  <c r="F35" i="47"/>
  <c r="F79" s="1"/>
  <c r="F16" i="28" s="1"/>
  <c r="G7" i="47"/>
  <c r="I105" i="26"/>
  <c r="I139" s="1"/>
  <c r="I141" s="1"/>
  <c r="I155" s="1"/>
  <c r="F6" i="45"/>
  <c r="F14" s="1"/>
  <c r="I146" i="26"/>
  <c r="I164"/>
  <c r="I165" s="1"/>
  <c r="I11" i="30"/>
  <c r="I11" i="28"/>
  <c r="G11"/>
  <c r="I23" i="30" s="1"/>
  <c r="E35" i="47"/>
  <c r="E79" s="1"/>
  <c r="B16" i="28" s="1"/>
  <c r="B12"/>
  <c r="E11"/>
  <c r="C11"/>
  <c r="G23" i="30" s="1"/>
  <c r="G11"/>
  <c r="L25" l="1"/>
  <c r="H14"/>
  <c r="J14"/>
  <c r="H23"/>
  <c r="J23"/>
  <c r="I16" i="28"/>
  <c r="I16" i="30"/>
  <c r="G16" i="28"/>
  <c r="I28" i="30" s="1"/>
  <c r="H11"/>
  <c r="J11"/>
  <c r="C16" i="28"/>
  <c r="G28" i="30" s="1"/>
  <c r="E16" i="28"/>
  <c r="G16" i="30"/>
  <c r="G11" i="47"/>
  <c r="G19" s="1"/>
  <c r="J11" i="28"/>
  <c r="E12"/>
  <c r="G12" i="30"/>
  <c r="C12" i="28"/>
  <c r="G24" i="30" s="1"/>
  <c r="B15" i="28"/>
  <c r="D17" i="46"/>
  <c r="D9"/>
  <c r="M20" i="28"/>
  <c r="D8" i="46"/>
  <c r="M17" i="28"/>
  <c r="M19"/>
  <c r="D7" i="46"/>
  <c r="M21" i="28"/>
  <c r="D15" i="46"/>
  <c r="D16"/>
  <c r="M18" i="28"/>
  <c r="M14"/>
  <c r="M13"/>
  <c r="G12"/>
  <c r="I24" i="30" s="1"/>
  <c r="I12"/>
  <c r="I12" i="28"/>
  <c r="F15"/>
  <c r="J12" i="30" l="1"/>
  <c r="G15"/>
  <c r="H12"/>
  <c r="J16"/>
  <c r="H16"/>
  <c r="I15"/>
  <c r="H24"/>
  <c r="J24"/>
  <c r="J12" i="28"/>
  <c r="G35" i="47"/>
  <c r="G79" s="1"/>
  <c r="J16" i="28" s="1"/>
  <c r="C15"/>
  <c r="G27" i="30" s="1"/>
  <c r="E15" i="28"/>
  <c r="M11"/>
  <c r="K11"/>
  <c r="K23" i="30" s="1"/>
  <c r="L23" s="1"/>
  <c r="K11"/>
  <c r="L11" s="1"/>
  <c r="H28"/>
  <c r="J28"/>
  <c r="I15" i="28"/>
  <c r="G15"/>
  <c r="I27" i="30" s="1"/>
  <c r="M12" i="28" l="1"/>
  <c r="K12"/>
  <c r="K24" i="30" s="1"/>
  <c r="L24" s="1"/>
  <c r="J15" i="28"/>
  <c r="K12" i="30"/>
  <c r="J15"/>
  <c r="H15"/>
  <c r="K16"/>
  <c r="L16" s="1"/>
  <c r="M16" i="28"/>
  <c r="K16"/>
  <c r="K28" i="30" s="1"/>
  <c r="L28" s="1"/>
  <c r="J27"/>
  <c r="H27"/>
  <c r="K15" i="28" l="1"/>
  <c r="K27" i="30" s="1"/>
  <c r="L27" s="1"/>
  <c r="M15" i="28"/>
  <c r="K15" i="30"/>
  <c r="L15" s="1"/>
  <c r="L12"/>
</calcChain>
</file>

<file path=xl/sharedStrings.xml><?xml version="1.0" encoding="utf-8"?>
<sst xmlns="http://schemas.openxmlformats.org/spreadsheetml/2006/main" count="1440" uniqueCount="813">
  <si>
    <t>CONTAS</t>
  </si>
  <si>
    <t>DESPESAS CORRENTES</t>
  </si>
  <si>
    <t>DESPESAS DE CAPITAL</t>
  </si>
  <si>
    <t>INVESTIMENTOS</t>
  </si>
  <si>
    <t>INVERSÕES FINANCEIRAS</t>
  </si>
  <si>
    <t>Valores em R$</t>
  </si>
  <si>
    <t>FISCAIS</t>
  </si>
  <si>
    <t xml:space="preserve">RESULTADOS </t>
  </si>
  <si>
    <t>CONSOLIDADAS ANUAIS</t>
  </si>
  <si>
    <t>REALIZADO</t>
  </si>
  <si>
    <t>Realizado</t>
  </si>
  <si>
    <t>Previsão</t>
  </si>
  <si>
    <t>PROJETADO</t>
  </si>
  <si>
    <t>%</t>
  </si>
  <si>
    <t>1. RECEITA CORRENTE LÍQUIDA</t>
  </si>
  <si>
    <t>2. RECEITAS DE TRIBUTOS</t>
  </si>
  <si>
    <t>3. RECEITAS FINANCEIRAS</t>
  </si>
  <si>
    <t>4. RENÚNCIA FISCAL</t>
  </si>
  <si>
    <t>5. VALOR LÍQUIDO DO FUNDEF</t>
  </si>
  <si>
    <t>6. TRANSFERÊNCIAS DA UNIÃO</t>
  </si>
  <si>
    <t>7. TRANSFERÊNCIAS DOS ESTADOS</t>
  </si>
  <si>
    <t>8. OPERAÇÕES DE CRÉDITO</t>
  </si>
  <si>
    <t>9. AROS</t>
  </si>
  <si>
    <t>10. PESSOAL ATIVO</t>
  </si>
  <si>
    <t>11. PESSOAL INATIVO</t>
  </si>
  <si>
    <t>12. PENSIONISTAS</t>
  </si>
  <si>
    <t>13. SERVIÇOS DE TERCEIROS</t>
  </si>
  <si>
    <t>14. OUTROS CUSTEIOS CORRENTES</t>
  </si>
  <si>
    <t>16. ENCARGOS DA DÍVIDA</t>
  </si>
  <si>
    <t>17. AMORTIZAÇÕES DA DÍVIDA</t>
  </si>
  <si>
    <t>18. DESPESAS FINANCEIRAS</t>
  </si>
  <si>
    <t>19. RESULTADO PRIMÁRIO</t>
  </si>
  <si>
    <t>20. RESULTADO NOMINAL</t>
  </si>
  <si>
    <t>15. INVESTIMENTOS</t>
  </si>
  <si>
    <t>Operação de Crédito Externo</t>
  </si>
  <si>
    <t xml:space="preserve"> 2.2.3 Dívida Mobiliária</t>
  </si>
  <si>
    <t>LEI DE DIRETRIZES ORÇAMENTÁRIAS</t>
  </si>
  <si>
    <t>Resultado Nominal</t>
  </si>
  <si>
    <t>2.1 - Operações de Crédito</t>
  </si>
  <si>
    <t>Receita Total</t>
  </si>
  <si>
    <t>Despesa Total</t>
  </si>
  <si>
    <t>Reservas</t>
  </si>
  <si>
    <t>3.0.00.00.00.00.00</t>
  </si>
  <si>
    <t>3.1.00.00.00.00.00</t>
  </si>
  <si>
    <t>PESSOAL E ENCARGOS SOCIAIS</t>
  </si>
  <si>
    <t>3.2.00.00.00.00.00</t>
  </si>
  <si>
    <t>3.3.00.00.00.00.00</t>
  </si>
  <si>
    <t>OUTRAS DESPESAS CORRENTES</t>
  </si>
  <si>
    <t>4.0.00.00.00.00.00</t>
  </si>
  <si>
    <t>4.4.00.00.00.00.00</t>
  </si>
  <si>
    <t>4.5.00.00.00.00.00</t>
  </si>
  <si>
    <t>4.5.90.66.00.00.00</t>
  </si>
  <si>
    <t>Concessão de Empréstimos e Financiamentos</t>
  </si>
  <si>
    <t>4.6.00.00.00.00.00</t>
  </si>
  <si>
    <t>AMORTIZAÇÃO DA DÍVIDA PÚBLICA</t>
  </si>
  <si>
    <t>Valores em R$ 1,00</t>
  </si>
  <si>
    <t>ESPECIFICAÇÃO</t>
  </si>
  <si>
    <t>Valor</t>
  </si>
  <si>
    <t>% PIB</t>
  </si>
  <si>
    <t>Corrente</t>
  </si>
  <si>
    <t>Constante</t>
  </si>
  <si>
    <t>(a / PIB)</t>
  </si>
  <si>
    <t>(b / PIB)</t>
  </si>
  <si>
    <t>(c / PIB)</t>
  </si>
  <si>
    <t>(a)</t>
  </si>
  <si>
    <t>x 100</t>
  </si>
  <si>
    <t>(b)</t>
  </si>
  <si>
    <t>(c)</t>
  </si>
  <si>
    <t xml:space="preserve">  Receita Total</t>
  </si>
  <si>
    <t xml:space="preserve"> Despesa Total</t>
  </si>
  <si>
    <t xml:space="preserve"> Resultado Primário (I – II)</t>
  </si>
  <si>
    <t xml:space="preserve"> Resultado Nominal</t>
  </si>
  <si>
    <t xml:space="preserve"> Dívida Pública Consolidada </t>
  </si>
  <si>
    <t xml:space="preserve"> Dívida Consolidada Líquida </t>
  </si>
  <si>
    <t xml:space="preserve">Variação </t>
  </si>
  <si>
    <t>%               (c/a) x 100</t>
  </si>
  <si>
    <t>Resultado Primário (I–II)</t>
  </si>
  <si>
    <t xml:space="preserve">Dívida Pública Consolidada </t>
  </si>
  <si>
    <t>Dívida Consolidada Líquida</t>
  </si>
  <si>
    <t>VALORES A PREÇOS CORRENTES</t>
  </si>
  <si>
    <t xml:space="preserve">     Receita Total </t>
  </si>
  <si>
    <t>Despesa Total </t>
  </si>
  <si>
    <t>Resultado Primário (I – II)</t>
  </si>
  <si>
    <t xml:space="preserve">Resultado Nominal  </t>
  </si>
  <si>
    <t>Dívida Pública Consolidada</t>
  </si>
  <si>
    <t>VALORES A PREÇOS CONSTANTES</t>
  </si>
  <si>
    <t>PATRIMÔNIO LÍQUIDO</t>
  </si>
  <si>
    <t>Patrimônio/Capital</t>
  </si>
  <si>
    <t>Resultado Acumulado</t>
  </si>
  <si>
    <t>TOTAL</t>
  </si>
  <si>
    <t>REGIME PREVIDENCIÁRIO</t>
  </si>
  <si>
    <t>RECEITAS REALIZADAS</t>
  </si>
  <si>
    <t xml:space="preserve">        Alienação de Bens Móveis</t>
  </si>
  <si>
    <t xml:space="preserve">        Alienação de Bens Imóveis</t>
  </si>
  <si>
    <t xml:space="preserve">   DESPESAS DE CAPITAL</t>
  </si>
  <si>
    <t xml:space="preserve">         Investimentos</t>
  </si>
  <si>
    <t xml:space="preserve">         Inversões Financeiras</t>
  </si>
  <si>
    <t xml:space="preserve">        Amortização da Dívida</t>
  </si>
  <si>
    <t xml:space="preserve">    DESPESAS CORRENTES DOS REGIMES DE PREVID.</t>
  </si>
  <si>
    <t xml:space="preserve">        Regime Geral de Previdência Social</t>
  </si>
  <si>
    <t xml:space="preserve">        Regime Próprio dos Servidores Públicos  </t>
  </si>
  <si>
    <t xml:space="preserve">SALDO FINANCEIRO </t>
  </si>
  <si>
    <t>EXERCÍCIO</t>
  </si>
  <si>
    <t>RENÚNCIA DE RECEITA PREVISTA</t>
  </si>
  <si>
    <t>COMPENSAÇÃO</t>
  </si>
  <si>
    <t>EVENTO</t>
  </si>
  <si>
    <t xml:space="preserve">Aumento Permanente da Receita  </t>
  </si>
  <si>
    <t>Saldo Final do Aumento Permanente de Receita  (I)</t>
  </si>
  <si>
    <t>Redução Permanente de Despesa (II)</t>
  </si>
  <si>
    <t>Margem Bruta  (III) = (I+II)</t>
  </si>
  <si>
    <t>Saldo Utilizado da Margem Bruta (IV)</t>
  </si>
  <si>
    <t xml:space="preserve">   Impacto de Novas DOCC</t>
  </si>
  <si>
    <t>Margem Líquida de Expansão de DOCC (III-IV)</t>
  </si>
  <si>
    <t>DEMONSTRATIVO DE RISCOS FISCAIS E PROVIDÊNCIAS</t>
  </si>
  <si>
    <t>PROVIDÊNCIAS</t>
  </si>
  <si>
    <t>Descrição</t>
  </si>
  <si>
    <t>I-Metas Previstas em</t>
  </si>
  <si>
    <t>II-Metas Realizadas em</t>
  </si>
  <si>
    <t>Valor (c) = (b-a)</t>
  </si>
  <si>
    <t>Variação %</t>
  </si>
  <si>
    <t>Variação%</t>
  </si>
  <si>
    <t xml:space="preserve">  Receitas Primárias (I)</t>
  </si>
  <si>
    <t>Despesas Primárias (II)</t>
  </si>
  <si>
    <t>Receita Primárias (I)</t>
  </si>
  <si>
    <t>Despesa Primárias (II)</t>
  </si>
  <si>
    <t>DEMONSTRATIVO DE METAS FISCAIS ATUAIS COMPARADAS COM AS FIXADAS  NOS TRÊS EXERCÍCIOS ANTERIORES</t>
  </si>
  <si>
    <t>Receitas Primárias (I)</t>
  </si>
  <si>
    <t>Saldo</t>
  </si>
  <si>
    <t>Reestimativa</t>
  </si>
  <si>
    <t>REESTIMADO</t>
  </si>
  <si>
    <t>JUROS E ENCARGOS DA DÍVIDA</t>
  </si>
  <si>
    <t>RESERVA DE CONTINGÊNCIA</t>
  </si>
  <si>
    <t>INFLAÇÃO MÉDIA ANUAL   (I P C A)</t>
  </si>
  <si>
    <t xml:space="preserve">VARIAÇÃODO PIB </t>
  </si>
  <si>
    <t>CRESCIMENTO VEGETATIVO DA FOLHA SALARIAL</t>
  </si>
  <si>
    <t>CRESCIMENTO AUTÔNOMO DE OUTROS CUSTEIOS</t>
  </si>
  <si>
    <t>ESFORÇO NA ARRECADAÇÃO TRIBUTÁRIA</t>
  </si>
  <si>
    <t xml:space="preserve">   Decorrente de Receitas Tributárias</t>
  </si>
  <si>
    <t xml:space="preserve">   Decorrente de Transferências Correntes</t>
  </si>
  <si>
    <t xml:space="preserve">      Relativas a  Pessoal e Encargos Sociais</t>
  </si>
  <si>
    <t xml:space="preserve">      Relativas a  Outras Despesas Correntes</t>
  </si>
  <si>
    <t>da Prefeitura Municipal</t>
  </si>
  <si>
    <t>Rendimento de Aplicações Financeira de Alienaç de Bens</t>
  </si>
  <si>
    <t xml:space="preserve">CRESCIMENTO DOS INVESTIMENTOS </t>
  </si>
  <si>
    <t>cando-se, sobre eles, as projeções de inflação para os referidos exercícios a saber:</t>
  </si>
  <si>
    <t>Exercício</t>
  </si>
  <si>
    <t>(-)  Transferências ao FUNDEB</t>
  </si>
  <si>
    <t>RESERVA DE CONTINGÊNCIA DO RPPS</t>
  </si>
  <si>
    <t xml:space="preserve">  Receita Total RPPS</t>
  </si>
  <si>
    <t xml:space="preserve">  Receitas Primárias RPPS (I)</t>
  </si>
  <si>
    <t xml:space="preserve"> Despesa Total RPPS</t>
  </si>
  <si>
    <t>Despesas Primárias RPPS (II)</t>
  </si>
  <si>
    <t xml:space="preserve"> Resultado Primário  RPPS (I – II)</t>
  </si>
  <si>
    <t xml:space="preserve">Operações de Crédito / Pagamentos </t>
  </si>
  <si>
    <t>ANEXO DE  METAS FISCAIS</t>
  </si>
  <si>
    <t>TABELA  01 - Parâmentos Utilizados nas Estimativas das Receitas e Despesas</t>
  </si>
  <si>
    <t>TRIBUTO</t>
  </si>
  <si>
    <t>MODALIDADE</t>
  </si>
  <si>
    <t>SETORES/ PROGRAMAS/ BENEFICIÁRIO</t>
  </si>
  <si>
    <t xml:space="preserve">          -</t>
  </si>
  <si>
    <t>Vide Obsevação</t>
  </si>
  <si>
    <t>abaixo</t>
  </si>
  <si>
    <t>DESPESAS  EXECUTADAS</t>
  </si>
  <si>
    <t>ANEXO DE RISCOS FISCAIS</t>
  </si>
  <si>
    <t>PASSIVOS CONTINGENTES</t>
  </si>
  <si>
    <t>Demandas Judiciais</t>
  </si>
  <si>
    <t>Dívidas em Processo de Reconhecimento</t>
  </si>
  <si>
    <t>Avais e Garantias Concedidas</t>
  </si>
  <si>
    <t>Assunção de Passivos</t>
  </si>
  <si>
    <t>Assistências Diversas</t>
  </si>
  <si>
    <t>Outros Passivos Contingentes</t>
  </si>
  <si>
    <t>SUBTOTAL</t>
  </si>
  <si>
    <t>DEMAIS RISCOS FISCAIS PASSIVOS</t>
  </si>
  <si>
    <t>Frustração de Arrecadação</t>
  </si>
  <si>
    <t>Restituição de Tributos a Maior</t>
  </si>
  <si>
    <t>Discrepância de Projeções:</t>
  </si>
  <si>
    <t>Outros Riscos Fiscais</t>
  </si>
  <si>
    <t>RESULTADO PREVIDENCIÁRIO (VII) = (III – VI)</t>
  </si>
  <si>
    <t>RESERVA ORÇAMENTÁRIA DO RPPS</t>
  </si>
  <si>
    <t>BENS E DIREITOS DO RPPS</t>
  </si>
  <si>
    <t>CONSOLIDAÇÃO GERAL</t>
  </si>
  <si>
    <t xml:space="preserve">   Novas DOCC</t>
  </si>
  <si>
    <t xml:space="preserve">   Novas DOCC geradas por PPP</t>
  </si>
  <si>
    <t>Margem Líquida de Expansão de DOCC (V) = (III-IV)</t>
  </si>
  <si>
    <t>(-) Transferências Constitucionais</t>
  </si>
  <si>
    <t>9.9.99.99.99.99.01</t>
  </si>
  <si>
    <t>9.9.99.99.99.99.02</t>
  </si>
  <si>
    <t>ANEXO  III -  METAS E PRIORIDADES</t>
  </si>
  <si>
    <t>TIPO (*)</t>
  </si>
  <si>
    <t>Ação</t>
  </si>
  <si>
    <t>Unidade de Medida</t>
  </si>
  <si>
    <t>Produto</t>
  </si>
  <si>
    <t>Meta Física</t>
  </si>
  <si>
    <r>
      <t>TOTAL DO PROGRAMA   =======================================</t>
    </r>
    <r>
      <rPr>
        <b/>
        <sz val="9"/>
        <rFont val="Wingdings"/>
        <charset val="2"/>
      </rPr>
      <t>è</t>
    </r>
  </si>
  <si>
    <t xml:space="preserve">(*)  Tipo:  P – Projeto       A - Atividade </t>
  </si>
  <si>
    <t xml:space="preserve">OE – Operação Especial      NO – Não-orçamentária            </t>
  </si>
  <si>
    <t>ANEXO IV</t>
  </si>
  <si>
    <t xml:space="preserve">RELATÓRIO SOBRE PROJETOS EM EXECUÇÃO E A EXECUTAR   E DESPESAS COM CONSERVAÇÃO DO PATRIMÔNIO PÚBLICO </t>
  </si>
  <si>
    <t>(Art. 45 da LRF)</t>
  </si>
  <si>
    <t>EXECUÇÃO %</t>
  </si>
  <si>
    <t>IDENTIFICAÇÃO DAS AÇÕES</t>
  </si>
  <si>
    <t>INÍCIO DA EXECUÇÃO</t>
  </si>
  <si>
    <t>VALOR DO PROJETO</t>
  </si>
  <si>
    <t>PROJETOS EM EXECUÇÃO</t>
  </si>
  <si>
    <t>NOVOS PROJETOS</t>
  </si>
  <si>
    <t>Total dos Recursos a Priorizar</t>
  </si>
  <si>
    <t xml:space="preserve">Pessoal  do  R P P S </t>
  </si>
  <si>
    <t xml:space="preserve">Juros e encargos da Dívida RPPS </t>
  </si>
  <si>
    <t>CONSERVAÇÃO DO PATRIMÔNIO</t>
  </si>
  <si>
    <t>Receitas Primárias Advindas de PPP (IV)</t>
  </si>
  <si>
    <t>Despesas Primárias Geradas por PPP (V)</t>
  </si>
  <si>
    <t>Impacto do Saldo das PPP (VI) = (IV) - (V)</t>
  </si>
  <si>
    <t>Taxa de Juros Selic (Média do Ano)</t>
  </si>
  <si>
    <t>ARRECADADA</t>
  </si>
  <si>
    <t>1.0.0.0.00.0.0.00.00.00</t>
  </si>
  <si>
    <t>Receitas Correntes</t>
  </si>
  <si>
    <t>1.1.0.0.00.0.0.00.00.00</t>
  </si>
  <si>
    <t>Impostos, Taxas e Contribuições de Melhoria</t>
  </si>
  <si>
    <t>1.1.1.0.00.0.0.00.00.00</t>
  </si>
  <si>
    <t>1.1.2.0.00.0.0.00.00.00</t>
  </si>
  <si>
    <t>Taxas</t>
  </si>
  <si>
    <t>1.1.3.0.00.0.0.00.00.00</t>
  </si>
  <si>
    <t>Contribuição de Melhoria</t>
  </si>
  <si>
    <t>1.2.0.0.00.0.0.00.00.00</t>
  </si>
  <si>
    <t>Contribuições</t>
  </si>
  <si>
    <t>1.2.1.0.00.0.0.00.00.00</t>
  </si>
  <si>
    <t>Contribuições Sociais</t>
  </si>
  <si>
    <t>1.2.1.0.04.0.0.00.00.00</t>
  </si>
  <si>
    <t>1.2.1.0.06.0.0.00.00.00</t>
  </si>
  <si>
    <t>Contribuição para os Fundos de Assistência Médica</t>
  </si>
  <si>
    <t>1.2.1.0.99.0.0.00.00.00</t>
  </si>
  <si>
    <t>Outras Contribuições Sociais</t>
  </si>
  <si>
    <t>1.2.1.8.00.0.0.00.00.00</t>
  </si>
  <si>
    <t>Contribuições Sociais específicas de Estados, DF, Municípios</t>
  </si>
  <si>
    <t>1.2.2.0.00.0.0.00.00.00</t>
  </si>
  <si>
    <t>Contribuições Econômicas</t>
  </si>
  <si>
    <t>1.2.4.0.00.0.0.00.00.00</t>
  </si>
  <si>
    <t>Contribuição para o Custeio do Serviço de Iluminação Pública</t>
  </si>
  <si>
    <t>1.3.0.0.00.0.0.00.00.00</t>
  </si>
  <si>
    <t>Receita Patrimonial</t>
  </si>
  <si>
    <t>1.3.1.0.00.0.0.00.00.00</t>
  </si>
  <si>
    <t>Exploração do Patrimônio Imobiliário do Estado</t>
  </si>
  <si>
    <t>1.3.2.0.00.0.0.00.00.00</t>
  </si>
  <si>
    <t>Valores Mobiliários</t>
  </si>
  <si>
    <t>1.3.2.1.00.1.1.01.00.00</t>
  </si>
  <si>
    <t>Remuneração de Depósitos de Recursos Vinculados - Principal</t>
  </si>
  <si>
    <t>1.3.2.1.00.1.1.02.00.00</t>
  </si>
  <si>
    <t>Remuneração de Depósitos de Recursos Não Vinculados - Principal</t>
  </si>
  <si>
    <t>1.3.2.1.00.4.0.00.00.00</t>
  </si>
  <si>
    <t>Remuneração dos Recursos do Regime Próprio de Previdência Social - RPPS</t>
  </si>
  <si>
    <t>1.3.2.1.00.5.0.00.00.00</t>
  </si>
  <si>
    <t>Juros de Títulos de Renda</t>
  </si>
  <si>
    <t>1.3.2.9.00.0.0.00.00.00</t>
  </si>
  <si>
    <t>Outros Valores Mobiliários</t>
  </si>
  <si>
    <t>1.3.3.0.00.0.0.00.00.00</t>
  </si>
  <si>
    <t>Delegação de Serviços Públicos Mediante Concessão, Permissão, Autorização ou Licença</t>
  </si>
  <si>
    <t>1.3.6.0.00.0.0.00.00.00</t>
  </si>
  <si>
    <t>Cessão de Direitos</t>
  </si>
  <si>
    <t>1.3.9.0.00.0.0.00.00.00</t>
  </si>
  <si>
    <t>Demais Receitas Patrimoniais</t>
  </si>
  <si>
    <t>1.4.0.0.00.0.0.00.00.00</t>
  </si>
  <si>
    <t>Receita Agropecuária</t>
  </si>
  <si>
    <t>Receita de Serviços</t>
  </si>
  <si>
    <t>1.7.0.0.00.0.0.00.00.00</t>
  </si>
  <si>
    <t>Transferências Correntes</t>
  </si>
  <si>
    <t>1.7.1.0.00.0.0.00.00.00</t>
  </si>
  <si>
    <t>Transferências da União e de suas Entidades</t>
  </si>
  <si>
    <t>1.7.1.8.01.2.0.00.00.00</t>
  </si>
  <si>
    <t>Cota-Parte do Fundo de Participação dos Municípios - Cota Mensal</t>
  </si>
  <si>
    <t>1.7.1.8.01.3.0.00.00.00</t>
  </si>
  <si>
    <t>Cota-Parte do Fundo de Participação do Municípios – 1% Cota entregue no mês de dezembro</t>
  </si>
  <si>
    <t>1.7.1.8.01.4.0.00.00.00</t>
  </si>
  <si>
    <t>Cota-Parte do Fundo de Participação dos Municípios - 1% Cota entregue no mês de julho</t>
  </si>
  <si>
    <t>1.7.1.8.01.5.0.00.00.00</t>
  </si>
  <si>
    <t>Cota-Parte do Imposto Sobre a Propriedade Territorial Rural</t>
  </si>
  <si>
    <t>1.7.1.8.02.0.0.00.00.00</t>
  </si>
  <si>
    <t>Transferência da Compensação Financeira pela Exploração de Recursos Naturais</t>
  </si>
  <si>
    <t>1.7.1.8.03.0.0.00.00.00</t>
  </si>
  <si>
    <t>Transferência de Recursos do Sistema Único de Saúde – SUS – Repasses Fundo a Fundo</t>
  </si>
  <si>
    <t>1.7.1.8.04.0.0.00.00.00</t>
  </si>
  <si>
    <t>Transferências de Recursos do Fundo Nacional de Assistência Social – FNAS</t>
  </si>
  <si>
    <t>1.7.1.8.05.0.0.00.00.00</t>
  </si>
  <si>
    <t>Transferências de Recursos do Fundo Nacional do Desenvolvimento da Educação – FNDE</t>
  </si>
  <si>
    <t>1.7.1.8.06.0.0.00.00.00</t>
  </si>
  <si>
    <t>Transferência Financeira do ICMS – Desoneração – L.C. Nº 87/96</t>
  </si>
  <si>
    <t>1.7.1.8.10.0.0.00.00.00</t>
  </si>
  <si>
    <t>Transferências de Convênios da União e de Suas Entidades</t>
  </si>
  <si>
    <t>1.7.2.0.00.0.0.00.00.00</t>
  </si>
  <si>
    <t>Transferências dos Estados e do Distrito Federal e de suas Entidades</t>
  </si>
  <si>
    <t>1.7.2.8.01.1.0.00.00.00</t>
  </si>
  <si>
    <t>Cota-Parte do ICMS</t>
  </si>
  <si>
    <t>1.5.0.0.00.0.0.00.00.00</t>
  </si>
  <si>
    <t>Receita Industrial</t>
  </si>
  <si>
    <t>1.7.2.8.01.2.0.00.00.00</t>
  </si>
  <si>
    <t>Cota-Parte do IPVA</t>
  </si>
  <si>
    <t>1.7.2.8.01.3.0.00.00.00</t>
  </si>
  <si>
    <t>Cota-Parte do IPI - Municípios</t>
  </si>
  <si>
    <t>1.7.2.8.01.4.0.00.00.00</t>
  </si>
  <si>
    <t>Cota-Parte da Contribuição de Intervenção no Domínio Econômico</t>
  </si>
  <si>
    <t>1.7.2.8.01.5.0.00.00.00</t>
  </si>
  <si>
    <t>Outras Participações na Receita dos Estados</t>
  </si>
  <si>
    <t>1.7.2.8.01.9.0.00.00.00</t>
  </si>
  <si>
    <t>Outras Transferências dos Estados</t>
  </si>
  <si>
    <t>1.7.2.8.03.0.0.00.00.00</t>
  </si>
  <si>
    <t>Transferência de Recursos do Estado para Programas de Saúde – Repasse Fundo a Fundo</t>
  </si>
  <si>
    <t>1.7.2.8.10.0.0.00.00.00</t>
  </si>
  <si>
    <t>Transferência de Convênios dos Estados e do Distrito Federal e de Suas Entidades</t>
  </si>
  <si>
    <t>1.7.2.8.99.0.0.00.00.00</t>
  </si>
  <si>
    <t>1.7.3.0.00.0.0.00.00.00</t>
  </si>
  <si>
    <t>Transferências dos Municípios e de suas Entidades</t>
  </si>
  <si>
    <t>1.7.4.0.00.0.0.00.00.00</t>
  </si>
  <si>
    <t>Transferências de Instituições Privadas</t>
  </si>
  <si>
    <t>Transferências de Outras Instituições Públicas</t>
  </si>
  <si>
    <t>1.7.6.0.00.0.0.00.00.00</t>
  </si>
  <si>
    <t>Transferências do Exterior</t>
  </si>
  <si>
    <t>1.7.7.0.00.0.0.00.00.00</t>
  </si>
  <si>
    <t>Transferências de Pessoas Físicas</t>
  </si>
  <si>
    <t>1.9.0.0.00.0.0.00.00.00</t>
  </si>
  <si>
    <t>Outras Receitas Correntes</t>
  </si>
  <si>
    <t>1.9.1.0.00.0.0.00.00.00</t>
  </si>
  <si>
    <t>Multas Administrativas, Contratuais e Judiciais</t>
  </si>
  <si>
    <t>1.9.2.0.00.0.0.00.00.00</t>
  </si>
  <si>
    <t>Indenizações, Restituições e Ressarcimentos</t>
  </si>
  <si>
    <t>1.9.9.0.00.0.0.00.00.00</t>
  </si>
  <si>
    <t>Demais Receitas Correntes</t>
  </si>
  <si>
    <t>1.9.9.0.03.0.0.00.00.00</t>
  </si>
  <si>
    <t>Compensações Financeiras entre o Regime Geral e os Regimes Próprios de Previdência dos Servidores</t>
  </si>
  <si>
    <t>1.9.9.0.06.0.0.00.00.00</t>
  </si>
  <si>
    <t>Contrapartida de Subvenções ou Subsídios</t>
  </si>
  <si>
    <t>1.9.9.0.12.0.0.00.00.00</t>
  </si>
  <si>
    <t>Encargos Legais pela Inscrição em Dívida Ativa e Receitas de Ônus de Sucumbência</t>
  </si>
  <si>
    <t>1.9.9.0.99.0.0.00.00.00</t>
  </si>
  <si>
    <t>2.0.0.0.00.0.0.00.00.00</t>
  </si>
  <si>
    <t>Receitas de Capital</t>
  </si>
  <si>
    <t>2.1.0.0.00.0.0.00.00.00</t>
  </si>
  <si>
    <t>Operações de Crédito</t>
  </si>
  <si>
    <t>2.2.0.0.00.0.0.00.00.00</t>
  </si>
  <si>
    <t>Alienação de Bens</t>
  </si>
  <si>
    <t>2.2.1.0.00.0.0.00.00.00</t>
  </si>
  <si>
    <t>Alienação de Bens Móveis</t>
  </si>
  <si>
    <t>2.2.2.0.00.0.0.00.00.00</t>
  </si>
  <si>
    <t>Alienação de Bens Imóveis</t>
  </si>
  <si>
    <t>2.3.0.0.00.0.0.00.00.00</t>
  </si>
  <si>
    <t>Amortização de Empréstimos</t>
  </si>
  <si>
    <t>2.4.0.0.00.0.0.00.00.00</t>
  </si>
  <si>
    <t>Transferências de Capital</t>
  </si>
  <si>
    <t>2.4.1.0.00.0.0.00.00.00</t>
  </si>
  <si>
    <t>2.4.2.0.00.0.0.00.00.00</t>
  </si>
  <si>
    <t>2.4.3.0.00.0.0.00.00.00</t>
  </si>
  <si>
    <t>2.4.4.0.00.0.0.00.00.00</t>
  </si>
  <si>
    <t>2.4.5.0.00.0.0.00.00.00</t>
  </si>
  <si>
    <t>2.4.6.0.00.0.0.00.00.00</t>
  </si>
  <si>
    <t>2.4.7.0.00.0.0.00.00.00</t>
  </si>
  <si>
    <t>2.9.0.0.00.0.0.00.00.00</t>
  </si>
  <si>
    <t>Outras Receitas de Capital</t>
  </si>
  <si>
    <t>2.9.9.0.00.1.1.01.00.00</t>
  </si>
  <si>
    <t>Outras Receitas Diretamente Arrecadadas pelo RPPS - Principal</t>
  </si>
  <si>
    <t>2.9.9.0.00.1.1.02.00.00</t>
  </si>
  <si>
    <t>Remuneracao de Depósitos Bancários - Principal</t>
  </si>
  <si>
    <t>7.0.0.0.00.0.0.00.00.00</t>
  </si>
  <si>
    <t>8.0.0.0.00.0.0.00.00.00</t>
  </si>
  <si>
    <t>Receitas de Capital Intraorçamentárias</t>
  </si>
  <si>
    <t>9.0.0.0.0.00.0.0.00.00</t>
  </si>
  <si>
    <t>9.1.1.0.0.00.0.0.00.00</t>
  </si>
  <si>
    <t>9.1.7.0.0.00.0.0.00.00</t>
  </si>
  <si>
    <t>Deduções para o FUNDEB</t>
  </si>
  <si>
    <t>9.1.0.0.0.00.0.0.00.00</t>
  </si>
  <si>
    <t>9.2.0.0.0.00.0.0.00.00</t>
  </si>
  <si>
    <t>Pessoal  - Legislativo</t>
  </si>
  <si>
    <t>Juros e Encargos da Dívida - Executiv / Indiretas</t>
  </si>
  <si>
    <t>Juros e Encargos da Dívida - Legislativo</t>
  </si>
  <si>
    <t>Outras Despesas Correntes - Executivo</t>
  </si>
  <si>
    <t>Outras Despesas Correntes - Legislativo</t>
  </si>
  <si>
    <t>Outras Despesas Correntes  RPPS</t>
  </si>
  <si>
    <t>Investimentos - Executvi / Indiretas</t>
  </si>
  <si>
    <t>Investimentos - Legislativo</t>
  </si>
  <si>
    <t xml:space="preserve">4.5.90.99.00.00.00 </t>
  </si>
  <si>
    <t>Outras Inversões Financeiras - Executvi / Indiretas</t>
  </si>
  <si>
    <t>Outras Inversões Financeiras - Legislativo</t>
  </si>
  <si>
    <t>Amortização da Dívida  - Executivo / Indiretas</t>
  </si>
  <si>
    <t>Amortização da Dívida  - Legislativo</t>
  </si>
  <si>
    <t>Amortização da Dívida  - RPPS</t>
  </si>
  <si>
    <t>CRESC.REAL DAS TRANSFER CORR DA UNIÃO</t>
  </si>
  <si>
    <t>CRESC.REAL DAS TRANSFER CORR DO ESTADO</t>
  </si>
  <si>
    <t>PERCENTUAL DE AUMENTO SALARIAL - EXECUTVO</t>
  </si>
  <si>
    <t>PERCENTUAL DE AUMENTO SALARIAL - LEGISLATIVO</t>
  </si>
  <si>
    <t>Contribuição para o Regime Próprio de Previdência Social - RPPS (dos servidores)</t>
  </si>
  <si>
    <t>Receitas Correntes Intraorçamentárias - RPPS</t>
  </si>
  <si>
    <t>Valor Corrente (a)</t>
  </si>
  <si>
    <t>% RCL</t>
  </si>
  <si>
    <t>(a /RCL)</t>
  </si>
  <si>
    <t>II - DEDUÇÕES</t>
  </si>
  <si>
    <t xml:space="preserve">    I R R F s/Rendimentos do Trabalho</t>
  </si>
  <si>
    <t>Contribuições Previdenciárias do Regime Próprio</t>
  </si>
  <si>
    <t>Compensação Financeira entre Regimes</t>
  </si>
  <si>
    <t>III - (+) Ajuste Perdas com o Fundeb</t>
  </si>
  <si>
    <t>IV - RECEITA CORRENTE LÍQUIDA (I-II+III)</t>
  </si>
  <si>
    <t>Estimativas para a Receita Corrente Líquida</t>
  </si>
  <si>
    <t>I - RECEITAS CORRENTES (Exceto Intraorçamentárias)</t>
  </si>
  <si>
    <t>1.1.1.3.03.1.1.01.00.00</t>
  </si>
  <si>
    <t>1.1.1.3.03.1.1.02.00.00</t>
  </si>
  <si>
    <t xml:space="preserve"> Demais Impostos</t>
  </si>
  <si>
    <t>IRRF s/Rend.Trabalho - Principal - Ativos/Inativos do Poder Executivo/Indiretas</t>
  </si>
  <si>
    <t>IRRF s/Rend.Trabalho - Principal - Ativos/Inativos do Poder Legislativo</t>
  </si>
  <si>
    <t xml:space="preserve">Deduções da Receita Corrente </t>
  </si>
  <si>
    <t>1.7.5.8.01.1.1.00.00.00</t>
  </si>
  <si>
    <t>Transferências de Recursos do FUNDEB - Principal</t>
  </si>
  <si>
    <t>Rendimentos de Aplicações de Rec.Previdenciários</t>
  </si>
  <si>
    <t>(B /RCL)</t>
  </si>
  <si>
    <t>(b /RCL)</t>
  </si>
  <si>
    <t>Inflação para 2020:</t>
  </si>
  <si>
    <t>AMF - Demonstrativo 6 (LRF, art. 4º, § 2º, inciso IV, alínea "a")</t>
  </si>
  <si>
    <t>RECEITAS E DESPESAS PREVIDENCIÁRIOS DO REGIME PRÓPRIO DE PREVIDÊNCIA DOS SERVIDORES</t>
  </si>
  <si>
    <t>PLANO PREVIDENCIÁRIO</t>
  </si>
  <si>
    <t>RECEITAS PREVIDENCIÁRIAS - RPPS</t>
  </si>
  <si>
    <t>RECEITAS CORRENTES (I)</t>
  </si>
  <si>
    <t xml:space="preserve">Receita de Contribuições dos Segurados </t>
  </si>
  <si>
    <t>Civil</t>
  </si>
  <si>
    <t xml:space="preserve">Ativo </t>
  </si>
  <si>
    <t xml:space="preserve">Inativo </t>
  </si>
  <si>
    <t xml:space="preserve">Pensionista </t>
  </si>
  <si>
    <t>Militar</t>
  </si>
  <si>
    <t xml:space="preserve">    Receita de Contribuições Patronais </t>
  </si>
  <si>
    <t>Em Regime de Parcelamento de Débitos</t>
  </si>
  <si>
    <t>Receitas Imobiliárias</t>
  </si>
  <si>
    <t>Receitas de Valores Mobiliários</t>
  </si>
  <si>
    <t>Outras Receitas Patrimoniais</t>
  </si>
  <si>
    <t>Receita de Aporte Periódico de Valores Predefinidos</t>
  </si>
  <si>
    <t>Compensação Previdenciária do RGPS para o RPPS</t>
  </si>
  <si>
    <t>RECEITAS DE CAPITAL (II)</t>
  </si>
  <si>
    <t>Alienação de Bens, Direitos e Ativos</t>
  </si>
  <si>
    <t>TOTAL DAS RECEITAS PREVIDENCIÁRIAS RPPS - (III) = (I + II)</t>
  </si>
  <si>
    <t>DESPESAS PREVIDENCIÁRIAS - RPPS</t>
  </si>
  <si>
    <t>ADMINISTRAÇÃO (IV)</t>
  </si>
  <si>
    <t>Despesas Correntes</t>
  </si>
  <si>
    <t>Despesas de Capital</t>
  </si>
  <si>
    <t>PREVIDÊNCIA (V)</t>
  </si>
  <si>
    <t>Benefícios - Civil</t>
  </si>
  <si>
    <t>Aposentadorias</t>
  </si>
  <si>
    <t>Pensões</t>
  </si>
  <si>
    <t>Outros Benefícios Previdenciários</t>
  </si>
  <si>
    <t>Benefícios - Militar</t>
  </si>
  <si>
    <t>Reformas</t>
  </si>
  <si>
    <t>Outras Despesas Previdenciárias</t>
  </si>
  <si>
    <t>Compensação Previdenciária do RPPS para o RGPS</t>
  </si>
  <si>
    <t>Demais Despesas Previdenciárias</t>
  </si>
  <si>
    <t>TOTAL DAS DESPESAS PREVIDENCIÁRIAS RPPS (VI) = (IV + V)</t>
  </si>
  <si>
    <t>RECURSOS RPPS ARRECADADOS EM EXERCÍCIOS ANTERIORES</t>
  </si>
  <si>
    <t>VALOR</t>
  </si>
  <si>
    <t>APORTES DE RECURSOS PARA O PLANO PREVIDENCIÁRIO DO RPPS</t>
  </si>
  <si>
    <t>Plano de Amortização - Contribuição Patronal Suplementar</t>
  </si>
  <si>
    <t>Plano de Amortização - Aporte Periódico de Valores Predefinidos</t>
  </si>
  <si>
    <t>Outros Aportes para o RPPS</t>
  </si>
  <si>
    <t>Recursos para Cobertura de Déficit Financeiro</t>
  </si>
  <si>
    <t>Caixa e Equivalentes de Caixa</t>
  </si>
  <si>
    <t>Investimentos e Aplicações</t>
  </si>
  <si>
    <t>Outro Bens e Direitos</t>
  </si>
  <si>
    <t>PLANO FINANCEIRO</t>
  </si>
  <si>
    <t>RECEITAS CORRENTES (VIII)</t>
  </si>
  <si>
    <t>Receita de Contribuições dos Segurados</t>
  </si>
  <si>
    <t>Receita de Contribuições Patronais</t>
  </si>
  <si>
    <t>RECEITAS DE CAPITAL (IX)</t>
  </si>
  <si>
    <t>TOTAL DAS RECEITAS PREVIDENCIÁRIAS RPPS - (X) = (VIII + IX)</t>
  </si>
  <si>
    <t>ADMINISTRAÇÃO (XI)</t>
  </si>
  <si>
    <t>PREVIDÊNCIA (XII)</t>
  </si>
  <si>
    <t xml:space="preserve">Aposentadorias </t>
  </si>
  <si>
    <t>TOTAL DAS DESPESAS PREVIDENCIÁRIAS RPPS (XIII) = (XI + XII)</t>
  </si>
  <si>
    <t>RESULTADO PREVIDENCIÁRIO (XIV) = (X – XIII)</t>
  </si>
  <si>
    <t>APORTES DE RECURSOS PARA O PLANO FINANCEIRO DO RRPS</t>
  </si>
  <si>
    <t>Recursos para Cobertura de Insuficiências Financeiras</t>
  </si>
  <si>
    <t>Recursos para Formação de Reserva</t>
  </si>
  <si>
    <t>PROJEÇÃO ATUARIAL DO REGIME PRÓPRIO DE PREVIDÊNCIA DOS SERVIDORES</t>
  </si>
  <si>
    <t>AVALIAÇÃO DA SITUAÇÃO FINANCEIRA E ATUARIAL DO RPPS</t>
  </si>
  <si>
    <t>Estimativa de Limites de Gastos com Pessoal do Poder Executivo e Legislativo para o período de 2018 a 2021</t>
  </si>
  <si>
    <t>Limite Máximo Legal   -  54 % da  RCL (alínea “b” do inciso III do artigo 20 da LRF)</t>
  </si>
  <si>
    <t>Limite Prudencial - 51,30 % da RCL (parágrafo único do artigo 22 daLRF)</t>
  </si>
  <si>
    <t>Limite de Alerta - 48,60 % da RCL (inciso II do § 1º do artigo 59 da LRF)</t>
  </si>
  <si>
    <t>PODER EXECUTIVO</t>
  </si>
  <si>
    <t xml:space="preserve">PODER LEGISLATIVO </t>
  </si>
  <si>
    <t>Limite Máximo Legal   -  6 % da  RCL (alínea “b” do inciso III do artigo 20 da LRF)</t>
  </si>
  <si>
    <t>Limite Prudencial - 5,70 % da RCL (parágrafo único do artigo 22 daLRF)</t>
  </si>
  <si>
    <t>Limite de Alerta -  5,40 % da RCL (inciso II do § 1º do artigo 59 da LRF)</t>
  </si>
  <si>
    <t>2.2 Encargos - Exceto RPPS</t>
  </si>
  <si>
    <t>2.3 Amortizações - Exceto RPPS</t>
  </si>
  <si>
    <t>Memória de Cálculo das Estimativas das Receitas</t>
  </si>
  <si>
    <t>ANEXO DE METAS FISCAIS</t>
  </si>
  <si>
    <t>METAS ANUAIS - CONSOLIDADO</t>
  </si>
  <si>
    <t>METAS ANUAIS - RPPS</t>
  </si>
  <si>
    <t xml:space="preserve">AVALIAÇÃO DO CUMPRIMENTO DAS METAS FISCAIS   DO EXERCÍCIO ANTERIOR                            </t>
  </si>
  <si>
    <t>EVOLUÇÃO DO PATRIMÔNIO LÍQUIDO</t>
  </si>
  <si>
    <t>ORIGEM E APLICAÇÃO DOS RECURSOS OBTIDOS COM A ALIENAÇÃO DE ATIVOS</t>
  </si>
  <si>
    <t>ESTIMATIVA E COMPENSAÇÃO DA RENÚNCIA DE RECEITA</t>
  </si>
  <si>
    <t xml:space="preserve">MARGEM DE EXPANSÃO DAS DESPESAS OBRIGATÓRIAS DE CARÁTER CONTINUADO  </t>
  </si>
  <si>
    <t>AMF - Demonstrativo 8 (LRF, art. 4°, § 2°, inciso V)</t>
  </si>
  <si>
    <t>AMF - Demonstrativo 7 (LRF, art. 4°, § 2°, inciso V)</t>
  </si>
  <si>
    <t>AMF - Demonstrativo 5 (LRF, art.4º, §2º, inciso III)</t>
  </si>
  <si>
    <t>AMF - Demonstrativo 4 (LRF, art.4º, §2º, inciso III)</t>
  </si>
  <si>
    <t>AMF – Demonstrativo 3 (LRF, art.4º, §2º, inciso II)</t>
  </si>
  <si>
    <t>AMF - Demonstrativo 2 (LRF, art. 4º, §2º, inciso I)</t>
  </si>
  <si>
    <t>AMF - Demonstrativo 1 (LRF, art. 4º, § 1º)</t>
  </si>
  <si>
    <t xml:space="preserve">Valor Constante </t>
  </si>
  <si>
    <t>Valor Corrente (b)</t>
  </si>
  <si>
    <t>Valor Constante</t>
  </si>
  <si>
    <t>Valor Corrente (c)</t>
  </si>
  <si>
    <t>LEI DE DIRETRIZES ORÇAMENTÁRIAS  PARA 2019</t>
  </si>
  <si>
    <t>Indicador</t>
  </si>
  <si>
    <t>PAGA</t>
  </si>
  <si>
    <t>PAGA(Estim)</t>
  </si>
  <si>
    <t>Memória de Cálculo das Estimativas de Pagamento das Despesas - Inclusive Restos a Pagar</t>
  </si>
  <si>
    <t>TOTAL DAS DESPESAS PAGAS</t>
  </si>
  <si>
    <t>TOTAL DAS RECEITAS ARRECADADAS</t>
  </si>
  <si>
    <t>LEI DE DIRETRIZES ORÇAMENTÁRIAS PARA 2019</t>
  </si>
  <si>
    <t>TABELA 02 - Demonstrativo da  Memória de Cálculo do Resultado Primário e Nominal  -  ACIMA DA LINHA</t>
  </si>
  <si>
    <t>RECEITAS PRIMÁRIAS</t>
  </si>
  <si>
    <t>Arrecadação</t>
  </si>
  <si>
    <t>Projeção</t>
  </si>
  <si>
    <t>(-)  Aplicações Financeiras em Geral</t>
  </si>
  <si>
    <t>(-) Aplicações Financeiras do RPPS</t>
  </si>
  <si>
    <t>(-) Outras Receitas Financeiras</t>
  </si>
  <si>
    <t>(-)  Operações de Crédito</t>
  </si>
  <si>
    <t>(-) Amortização de Empréstimos</t>
  </si>
  <si>
    <t>(-) Alienação de Investimentos Temporários e Permanentes</t>
  </si>
  <si>
    <t>(-) Outras Receitas de Capital -  Não Primárias</t>
  </si>
  <si>
    <t>1.6.0.0.00.0.0.00.00</t>
  </si>
  <si>
    <t>Demais Serviços</t>
  </si>
  <si>
    <t>1.6.4.0.01.1.0.00.00 + 1.6.4.0.03.1.0.00.00</t>
  </si>
  <si>
    <t>Retorno de Operações -  Juros e Encargos Financeiros / Rem. s/Repasse para Programas de Desenv.Econômico</t>
  </si>
  <si>
    <t>1.9.2.2.01.2.0.00.00</t>
  </si>
  <si>
    <t>Restituição de Convênios -  Financeiras</t>
  </si>
  <si>
    <t>1.9.2.0.00.0.0.00.00</t>
  </si>
  <si>
    <t>Outras Indenizações, Restituições e Ressarcimentos</t>
  </si>
  <si>
    <t>1.9.9.0.1.1.1.0.00.00.00</t>
  </si>
  <si>
    <t>Variação Cambial</t>
  </si>
  <si>
    <t>1.9.9.0.99.2.0.00.00.00</t>
  </si>
  <si>
    <t>Outras Receitas Financeiras</t>
  </si>
  <si>
    <t>Outras Receitas (demais receitas diversas)</t>
  </si>
  <si>
    <t>Taxa de Câmbio</t>
  </si>
  <si>
    <t xml:space="preserve">2.2.1.8.01.1.0.00.00.00 </t>
  </si>
  <si>
    <t>Alienação de Investimentos Temporários</t>
  </si>
  <si>
    <t>2.2.1.8.01.2.0.00.00.00</t>
  </si>
  <si>
    <t>Alienação de Investimenros Permanentes</t>
  </si>
  <si>
    <t>DESPESAS PRIMÁRIAS</t>
  </si>
  <si>
    <t>(-)  Juros e Encargos da Dívida</t>
  </si>
  <si>
    <t>(-)  Concessão e Empréstimos e Financiamentos</t>
  </si>
  <si>
    <t>(-) Aquisiç. De Títulos de Capital Já Integarlizado</t>
  </si>
  <si>
    <t>(-) Aquisição de Títulos de Crédito</t>
  </si>
  <si>
    <t>(-) Amortização da Dívida</t>
  </si>
  <si>
    <t>(=) Receitas Primárias Correntes  (I)</t>
  </si>
  <si>
    <t>(=) Receitas Primárias de Capital (II)</t>
  </si>
  <si>
    <t>RECEITAS PRIMÁRIAS TOTAIS (III = I + II)</t>
  </si>
  <si>
    <t>(=) Despesas Primárias Correntes (IV)</t>
  </si>
  <si>
    <t>(=) Despesas Primárias de Capital (V)</t>
  </si>
  <si>
    <t>DESPESAS PRIMÁRIAS TOTAIS (VI = IV + V)</t>
  </si>
  <si>
    <t>Pagamento</t>
  </si>
  <si>
    <t>Pagto Estimado</t>
  </si>
  <si>
    <t>RESULTADO PRIMÁRIO   -  ACIMA DA LINHA (VII = III - VI)</t>
  </si>
  <si>
    <t>JUROS E ENCARGOS ATIVOS (Variações Patrimoniais Aumentativas)</t>
  </si>
  <si>
    <t>4.4.1.1.1.00.00 - Juros e Encargos de Empréstimos Internos Concedidos – Consolidação</t>
  </si>
  <si>
    <t>4.4.1.1.3.00.00 - Juros e Encargos de Empréstimos Internos Concedidos - Inter Ofss – União</t>
  </si>
  <si>
    <t>4.4.1.1.4.00.00 - Juros e Encargos de Empréstimos Internos Concedidos - Inter Ofss -Estado</t>
  </si>
  <si>
    <t>4.4.1.1.5.00.00 - Juros e Encargos de Empréstimos Internos Concedidos - Inter Ofss – Município</t>
  </si>
  <si>
    <t>4.4.1.2.1.00.00 - Juros e Encargos de Empréstimos Externos Concedidos – Consolidação</t>
  </si>
  <si>
    <t>4.4.1.3.1.00.00 - Juros e Encargos de Financiamentos Internos Concedidos – Consolidação</t>
  </si>
  <si>
    <t>4.4.1.3.3.00.00 - Juros e Encargos de Financiamentos Internos Concedidos - Inter Ofss – União</t>
  </si>
  <si>
    <t>4.4.1.3.4.00.00 - Juros e Encargos de Financiamentos Internos Concedidos - Inter Ofss – Estado</t>
  </si>
  <si>
    <t>4.4.1.3.5.00.00 - Juros e Encargos de Financiamentos Internos Concedidos - Inter Ofss – Município</t>
  </si>
  <si>
    <t>4.4.1.4.1.00.00 - Juros e Encargos de Financiamentos Externos Concedidos – Consolidação</t>
  </si>
  <si>
    <t>4.4.2.1.1.00.00 - Juros e Encargos de Mora Sobre Empréstimos e Financiamentos Internos Concedidos – Consolidação</t>
  </si>
  <si>
    <t>4.4.2.1.3.00.00 - Juros e Encargos de Mora Sobre Empréstimos e Financiamentos Internos Concedidos - Inter Ofss – União</t>
  </si>
  <si>
    <t>4.4.2.1.4.00.00 - Juros e Encargos de Mora Sobre Empréstimos e Financiamentos Internos Concedidos - Inter Ofss - Estado</t>
  </si>
  <si>
    <t>4.4.2.1.5.00.00 - Juros e Encargos ee Mora Sobre Empréstimos e Financiamentos Internos Concedidos - Inter Ofss - Município</t>
  </si>
  <si>
    <t>4.4.2.2.1.00.00 - Juros e Encargos de Mora Sobre Empréstimos e Financiamentos Externos Concedidos - Consolidação</t>
  </si>
  <si>
    <t>4.4.5.1.1.00.00 - Remuneração de Depósitos Bancários - Consolidação</t>
  </si>
  <si>
    <t>4.4.5.2.1.00.00 - Remuneração de Aplicações Financeiras - Consolidação</t>
  </si>
  <si>
    <t>SOMA  DOS JUROS E ENCARGOS ATIVOS  (VIII)</t>
  </si>
  <si>
    <t>JUROS E ENCARGOS PASSIVOS (Variações Patrimoniais Diminutivas)</t>
  </si>
  <si>
    <t>SOMA  DOS JUROS E ENCARGOS PASSIVOS (IX)</t>
  </si>
  <si>
    <t>3.4.1.1.1.00.00 - Juros e Encargos da Dívida Contratual Interna - Consolidação</t>
  </si>
  <si>
    <t>3.4.1.1.3.00.00 - Juros e Encargos da Dívida Contratual Interna - Inter Ofss - União</t>
  </si>
  <si>
    <t>3.4.1.1.4.00.00 - Juros e Encargos da Dívida Contratual Interna - Inter Ofss - Estado</t>
  </si>
  <si>
    <t>3.4.1.1.5.00.00 - Juros e Encargos da Dívida Contratual Interna - Inter Ofss - Município</t>
  </si>
  <si>
    <t>3.4.1.2.1.00.00 - Juros e Encargos da Dívida Contratual Externa - Consolidação</t>
  </si>
  <si>
    <t>3.4.1.3.1.00.00 - Juros e Encargos da Dívida Mobiliaria - Consolidação</t>
  </si>
  <si>
    <t>3.4.1.4.1.00.00 - Juros e Encargos de Empréstimos por Antecipação de Receita Orçamentária – Consolidação</t>
  </si>
  <si>
    <t>3.4.1.8.1.00.00 - Outros Juros e Encargos de Empréstimos e Financiamentos Internos – Consolidação</t>
  </si>
  <si>
    <t>3.4.1.8.3.00.00 - Outros Juros e Encargos de Empréstimos e Financiamentos Internos - Inter Ofss – União</t>
  </si>
  <si>
    <t>3.4.1.8.4.00.00 - Outros Juros e Encargos de Empréstimos e Financiamentos Internos - Inter Ofss – Estado</t>
  </si>
  <si>
    <t>3.4.1.8.5.00.00 - Outros Juros e Encargos de Empréstimos e Financiamentos Internos - Inter Ofss - Município</t>
  </si>
  <si>
    <t>3.4.1.9.1.00.00 - Outros Juros e Encargos de Empréstimos e Financiamentos Externos - Consolidação</t>
  </si>
  <si>
    <t>3.4.2.1.1.00.00 - Juros e Encargos de Mora de Empréstimos e Financiamentos Internos Obtidos - Consolidação</t>
  </si>
  <si>
    <t>3.4.2.1.3.00.00 - Juros e Encargos de Mora de Empréstimos e Financiamentos Internos Obtidos - Inter Ofss - União</t>
  </si>
  <si>
    <t>3.4.2.1.4.00.00 - Juros e Encargos de Mora de Empréstimos e Financiamentos Internos Obtidos - Inter Ofss - Estado</t>
  </si>
  <si>
    <t>3.4.2.1.5.00.00 -  Juros e Encargos de Mora de Empréstimos e Financiamentos Internos Obtidos - Inter Ofss - Município</t>
  </si>
  <si>
    <t>3.4.2.2.1.00.00 - Juros e Encargos de Mora de Empréstimos e Financiamentos Externos Obtidos - Consolidação</t>
  </si>
  <si>
    <t>RESULTADO NOMINAL  -  ACIMA DA LINHA (X = VII + VIII - IX))</t>
  </si>
  <si>
    <t xml:space="preserve">TABELA 03 - Demonstrativo da Evolução da Dívida Consolidada Líquida </t>
  </si>
  <si>
    <t>Apuração Conforme a Instrução Normativa nº 12/2017, do TCE/RS</t>
  </si>
  <si>
    <t>Lei de Diretrizes Orçamentárias para o Exercício de 2019</t>
  </si>
  <si>
    <t>EXERCÍCIO DE 2019</t>
  </si>
  <si>
    <t>2017 (a)</t>
  </si>
  <si>
    <t>2017 (b)</t>
  </si>
  <si>
    <t xml:space="preserve"> EXERCÍCIO DE 2019</t>
  </si>
  <si>
    <t xml:space="preserve">EXERCÍCIO DE 2019 </t>
  </si>
  <si>
    <t>Valor Previsto 2019</t>
  </si>
  <si>
    <t>LEI DE DIRETRIZES ORÇAMENTÁRIAS – 2019</t>
  </si>
  <si>
    <t>LEI DE DIRETRIZES ORÇAMENTÁRIAS - 2019</t>
  </si>
  <si>
    <t>RECURSOS PRIORIZADOS PARA 2019</t>
  </si>
  <si>
    <t>ATÉ EXERC ANTERIOR - 2017</t>
  </si>
  <si>
    <t>NO EXERCÍCIO DE 2018</t>
  </si>
  <si>
    <t>A EXECUTAR EM 2019</t>
  </si>
  <si>
    <t>Lucros ou Prejuízos Acumulados</t>
  </si>
  <si>
    <t>SALDOS DE EXERCÍCIOS ANTERIORES A 2015</t>
  </si>
  <si>
    <t>APLICAÇÃO DOS RECURSOS DA ALIENAÇÃO DE ATIVOS (II)</t>
  </si>
  <si>
    <t>Valor (III)</t>
  </si>
  <si>
    <t>Obs:  1 -   Os valores da renúncia para 2019 foram previstos de acordo com informações do setor tributário</t>
  </si>
  <si>
    <t>Inflação para 2021:</t>
  </si>
  <si>
    <t xml:space="preserve">    Dívida Mobiliária</t>
  </si>
  <si>
    <t xml:space="preserve">    Dívida Contratual (inclusive parcelamentos)</t>
  </si>
  <si>
    <t xml:space="preserve">    Precatórios posteriores a 05-05-2000</t>
  </si>
  <si>
    <t xml:space="preserve"> DÍVIDA CONSOLIDADA (I)</t>
  </si>
  <si>
    <t>DISPONIBILIDADES DE CAIXA (II)</t>
  </si>
  <si>
    <t xml:space="preserve">   Disponibilidade da Caixa Bruta</t>
  </si>
  <si>
    <t xml:space="preserve">   (-) Restos a Pagar Processados</t>
  </si>
  <si>
    <t>DIVIDA CONSOLIDADA LÍQUIDA (III = I - II)</t>
  </si>
  <si>
    <t xml:space="preserve">   Demais Haveres Financeiros</t>
  </si>
  <si>
    <t>Previsão (Saldo Médio)</t>
  </si>
  <si>
    <t>Cronograma Anual de Operações de Crédito e  de Amortização e Serviço da Dívida</t>
  </si>
  <si>
    <t>Preenchimento Opcional Cfe. Item 02.01.02.01 da 8ª Edição do MDF</t>
  </si>
  <si>
    <t>Preenchimento opcional cfe. Item 02.01.02.01 da 8ª edição do MDF</t>
  </si>
  <si>
    <t>Preenchimento Opcional Cfe 8ª Edição do MDF</t>
  </si>
  <si>
    <t>Município de : PORTÃO/RS</t>
  </si>
  <si>
    <t xml:space="preserve">Investimentos  RPPS </t>
  </si>
  <si>
    <r>
      <t>( R ) Deduções da Receita</t>
    </r>
    <r>
      <rPr>
        <b/>
        <sz val="10"/>
        <color indexed="10"/>
        <rFont val="Times New Roman"/>
        <family val="1"/>
      </rPr>
      <t xml:space="preserve"> </t>
    </r>
  </si>
  <si>
    <t>RECEITAS DE CAPITAL - Alienação de Ativos (I)</t>
  </si>
  <si>
    <r>
      <t>Em Regime de Parcelamento de Débitos</t>
    </r>
    <r>
      <rPr>
        <sz val="8"/>
        <rFont val="Times New Roman"/>
        <family val="1"/>
      </rPr>
      <t xml:space="preserve"> </t>
    </r>
  </si>
  <si>
    <r>
      <t>PROGRAMA</t>
    </r>
    <r>
      <rPr>
        <b/>
        <sz val="10"/>
        <rFont val="Times New Roman"/>
        <family val="1"/>
      </rPr>
      <t>: AÇÃO LEGISLATIVA</t>
    </r>
  </si>
  <si>
    <t>OBJETIVO: Garantir o funcionamento das atividades do Poder Legislativo Municipal</t>
  </si>
  <si>
    <t>A</t>
  </si>
  <si>
    <t>Manutenção das Atividades do Poder Legislativo</t>
  </si>
  <si>
    <t>P</t>
  </si>
  <si>
    <t>Equipamento e Material Permanente</t>
  </si>
  <si>
    <t>Aquisição de Equipamentos</t>
  </si>
  <si>
    <t>Reformas e Ampliações da Sede da Câmara Municipal</t>
  </si>
  <si>
    <t>Melhorias de Prédios</t>
  </si>
  <si>
    <r>
      <t>TOTAL DO PROGRAMA   =======================================</t>
    </r>
    <r>
      <rPr>
        <b/>
        <sz val="10"/>
        <rFont val="Wingdings"/>
        <charset val="2"/>
      </rPr>
      <t>è</t>
    </r>
  </si>
  <si>
    <t xml:space="preserve">Manutenção das Atividades </t>
  </si>
  <si>
    <r>
      <t>PROGRAMA</t>
    </r>
    <r>
      <rPr>
        <b/>
        <sz val="10"/>
        <rFont val="Times New Roman"/>
        <family val="1"/>
      </rPr>
      <t>: APOIO ADMINISTRATIVO</t>
    </r>
  </si>
  <si>
    <t>Manutenção da Secretaria</t>
  </si>
  <si>
    <t>Atividade mantida</t>
  </si>
  <si>
    <t>Equipamento e Material permanente</t>
  </si>
  <si>
    <t>Equipamento e Material adquirido</t>
  </si>
  <si>
    <t>Compra Veículos</t>
  </si>
  <si>
    <r>
      <t>PROGRAMA</t>
    </r>
    <r>
      <rPr>
        <b/>
        <sz val="10"/>
        <rFont val="Times New Roman"/>
        <family val="1"/>
      </rPr>
      <t>: REGIME PRÓPRIO DE PREVIDÊNCIA - RPPS</t>
    </r>
  </si>
  <si>
    <t>Manutenção do RPPS</t>
  </si>
  <si>
    <t>OE</t>
  </si>
  <si>
    <t>Reserva de Contingência do RPPS</t>
  </si>
  <si>
    <r>
      <t>PROGRAMA</t>
    </r>
    <r>
      <rPr>
        <b/>
        <sz val="10"/>
        <rFont val="Times New Roman"/>
        <family val="1"/>
      </rPr>
      <t>: MANUNTENÇÃO E DESENVOLVIMENTO DA SECRETARIA DA FAZENDA</t>
    </r>
  </si>
  <si>
    <t>Manutenção da Secretaria da Fazenda</t>
  </si>
  <si>
    <t>Contratação de Profissionais para Área Tributária</t>
  </si>
  <si>
    <t>Convênio com o Registro de Imóveis (Atualização Cadastral)</t>
  </si>
  <si>
    <t>Dívida Fundada</t>
  </si>
  <si>
    <t>Reserva de Contingência</t>
  </si>
  <si>
    <r>
      <t xml:space="preserve">OE – Operação Especial      NO – Não-orçamentária         </t>
    </r>
    <r>
      <rPr>
        <sz val="8"/>
        <rFont val="Arial"/>
        <family val="2"/>
      </rPr>
      <t xml:space="preserve">   </t>
    </r>
  </si>
  <si>
    <r>
      <t>PROGRAMA</t>
    </r>
    <r>
      <rPr>
        <b/>
        <sz val="10"/>
        <rFont val="Times New Roman"/>
        <family val="1"/>
      </rPr>
      <t>: MANUTENÇÃO E DESENVOLVIMENTO DA EDUCAÇÃO BÁSICA</t>
    </r>
  </si>
  <si>
    <t>Manutenção do Atendimento das Matrículas de 02 e 03 anos</t>
  </si>
  <si>
    <t>Matrículas atendidas</t>
  </si>
  <si>
    <t>Ofertar vagas da Educação Infantil de 0 a 2 anos e ampliar o atendimento de 2 a 3 anos</t>
  </si>
  <si>
    <t>Novas vagas</t>
  </si>
  <si>
    <t>Construções e/ou adequações das instalações das EMEIs</t>
  </si>
  <si>
    <t>Obra concluída</t>
  </si>
  <si>
    <t>Ampliação do quadro de pessoal para atendimento das demandas novas</t>
  </si>
  <si>
    <t>Profissionais contratados</t>
  </si>
  <si>
    <t>Desenvolvimento e manutenção das matrículas do Ensino Fundamental em suas diversidades e especificidades</t>
  </si>
  <si>
    <t>Alunos atendidos</t>
  </si>
  <si>
    <t>Construções e adequações das escolas de Ens. Fundamental existentes ou de novas que se fizerem necessárias (inclusive quadras esportivas)</t>
  </si>
  <si>
    <t>Atendimento do Ens. Fund quanto a: Educação Especial conclusiva; Ed. de Jovens e Adultos</t>
  </si>
  <si>
    <t>Ampliação da Educação em tempo integral</t>
  </si>
  <si>
    <t>Atendimento ofertado</t>
  </si>
  <si>
    <t>Implementação e Manutenção dos programas de capacitação e formação continuada à todos os profissionais da educação</t>
  </si>
  <si>
    <t>Profissionais qualificados</t>
  </si>
  <si>
    <t>Aquisição de móveis, equipamentos e materiais pedagógicos para atendimento das demandas da Ed. Infantil e Ens. Fundamental</t>
  </si>
  <si>
    <t>Itens adquiridos</t>
  </si>
  <si>
    <t>Manutenção de programas de apoio à Educ. Infantil e Ens. Fund. visando a garantir de acesso e permanência, através do Programa de Transporte Escolar e Alimentação</t>
  </si>
  <si>
    <t>Ampliação e qualificação da educação digital e dos recursos de multimídea</t>
  </si>
  <si>
    <t>Capacitações realizadas e equipamentos adquiridos</t>
  </si>
  <si>
    <t>Desenvolvimento e Qualificação da Educação Ambiental e Educação para o Trânsito</t>
  </si>
  <si>
    <t>Manutenção do Atendimento das Matrículas de 04 e 05 anos</t>
  </si>
  <si>
    <t>Ampliação do quadro de pessoal para atendimento das novas demandas</t>
  </si>
  <si>
    <t>Implementação e manutenção de projetos educacionais que visem a melhoria do fluxo escolar e aprendizagem</t>
  </si>
  <si>
    <t>Manutenção da Secretaria de Educação</t>
  </si>
  <si>
    <t>Manutenção do Sistema Municipal de Ensino</t>
  </si>
  <si>
    <t>SME em funcionamento</t>
  </si>
  <si>
    <t>Ampliação no atendimento aos alunos do programa AEE das escolas</t>
  </si>
  <si>
    <r>
      <t>PROGRAMA</t>
    </r>
    <r>
      <rPr>
        <b/>
        <sz val="10"/>
        <rFont val="Times New Roman"/>
        <family val="1"/>
      </rPr>
      <t>: Saúde Municipal- FUNDO MUNICIPAL DE SAÚDE</t>
    </r>
  </si>
  <si>
    <t>Manutenção da Saúde</t>
  </si>
  <si>
    <t>Equipamento adquirido</t>
  </si>
  <si>
    <t>Construção/Ampliação e reforma de Unidade Básica de Saúde</t>
  </si>
  <si>
    <t>Obra construída</t>
  </si>
  <si>
    <t>Contratação de Consórcio ou Clínicas Especializadas</t>
  </si>
  <si>
    <t xml:space="preserve"> Pessoas atendidas</t>
  </si>
  <si>
    <t>Programas de Saúde</t>
  </si>
  <si>
    <t>Consultas/Exames</t>
  </si>
  <si>
    <t>SAMU/Equivalente</t>
  </si>
  <si>
    <t>Atendimento Urgência/Emergência</t>
  </si>
  <si>
    <t>Consultas/ Urgência e Emergência</t>
  </si>
  <si>
    <r>
      <t>PROGRAMA</t>
    </r>
    <r>
      <rPr>
        <b/>
        <sz val="10"/>
        <rFont val="Times New Roman"/>
        <family val="1"/>
      </rPr>
      <t>: Saúde Municipal-  REPASSES E CONVÊNIOS COM GOVERNO ESTADUAL E FEDERAL</t>
    </r>
  </si>
  <si>
    <t>Vigilância em Saúde</t>
  </si>
  <si>
    <t>Vistoria/Alvarás Sanitários</t>
  </si>
  <si>
    <t>Visitas Especializadas</t>
  </si>
  <si>
    <t>Vigilância do Trabalho</t>
  </si>
  <si>
    <t>Consultas</t>
  </si>
  <si>
    <t>Farmácia Municipal</t>
  </si>
  <si>
    <t>Transporte</t>
  </si>
  <si>
    <t>Transporte de pacientes</t>
  </si>
  <si>
    <r>
      <t>PROGRAMA</t>
    </r>
    <r>
      <rPr>
        <b/>
        <sz val="10"/>
        <rFont val="Times New Roman"/>
        <family val="1"/>
      </rPr>
      <t>: SECRETARIA DE OBRAS - ATENDIMENTO À COMUNIDADE</t>
    </r>
  </si>
  <si>
    <t>Manutenção da Secretaria de Obras e Viação</t>
  </si>
  <si>
    <t>Máquinas e Veículos</t>
  </si>
  <si>
    <t>Praças e Passeios Públicos</t>
  </si>
  <si>
    <t>Construções e Ampliações de Pontes</t>
  </si>
  <si>
    <t>Calçamento, asfalto e rede de esgotos</t>
  </si>
  <si>
    <t>Redes Elétricas Urbanas</t>
  </si>
  <si>
    <t>Construções e Ampliações de Prédios Públicos</t>
  </si>
  <si>
    <t>Manutenção Departamento de Trânsito</t>
  </si>
  <si>
    <t>LEI DE DIRETRIZES ORÇAMENTÁRIAS – 2018</t>
  </si>
  <si>
    <r>
      <t>PROGRAMA</t>
    </r>
    <r>
      <rPr>
        <b/>
        <sz val="10"/>
        <rFont val="Times New Roman"/>
        <family val="1"/>
      </rPr>
      <t>: MANUTENÇÃO E APOIO À AGRICULTURA</t>
    </r>
  </si>
  <si>
    <t>OBJETIVO: Proporcionar sustentabilidade das propriedades rurais, evitando assim o êxodo rural</t>
  </si>
  <si>
    <t>Manutenção da Secretaria da Agricultura</t>
  </si>
  <si>
    <t>Ampliação do Programa de Incentivo à Produção</t>
  </si>
  <si>
    <t>Redes Elétricas Rurais</t>
  </si>
  <si>
    <r>
      <t>PROGRAMA</t>
    </r>
    <r>
      <rPr>
        <b/>
        <sz val="10"/>
        <rFont val="Times New Roman"/>
        <family val="1"/>
      </rPr>
      <t>: GESTÃO DA ASSISTÊNCIA A SOCIAL DO MUNICÍPIO</t>
    </r>
  </si>
  <si>
    <t>OBJETIVO: Gerir e controlar os programas e ações finalísticas da Secretaria Municipal de Ação Social e Habitação</t>
  </si>
  <si>
    <t>Manutenção da Secretaria Programas de Proteção Básica</t>
  </si>
  <si>
    <t>Manutenção de Programas da Criança e Adolescente</t>
  </si>
  <si>
    <t>Manutenção dos Programas de Habitação</t>
  </si>
  <si>
    <t>Manutenção dos Programas de Proteção Básica</t>
  </si>
  <si>
    <t>Manutenção dos Programas de Proteção ao Idoso</t>
  </si>
  <si>
    <t>LEI  DE DIRETRIZES ORÇAMENTÁRIAS – 2019</t>
  </si>
  <si>
    <r>
      <t>PROGRAMA</t>
    </r>
    <r>
      <rPr>
        <b/>
        <sz val="10"/>
        <rFont val="Times New Roman"/>
        <family val="1"/>
      </rPr>
      <t>: DESENVOLVIMENTO DA INDÚSTRIA E COMÉRCIO</t>
    </r>
  </si>
  <si>
    <t>OBJETIVO: Incentivar,  promover e fomentar iniciativas que visem à geração de novos empreendimentos e oportunidades de trabalho e renda para à população.</t>
  </si>
  <si>
    <t>Programa de Incentivo (Condomínio Industrial)</t>
  </si>
  <si>
    <t>Incentivo concedido</t>
  </si>
  <si>
    <t>Cartilhas de Orientação</t>
  </si>
  <si>
    <t>Criação da Sala do Empreendedor</t>
  </si>
  <si>
    <r>
      <t>PROGRAMA</t>
    </r>
    <r>
      <rPr>
        <b/>
        <sz val="10"/>
        <rFont val="Times New Roman"/>
        <family val="1"/>
      </rPr>
      <t>: MANUTENÇÃO E DESENVOLVIMENTO DO MEIO AMBIENTE</t>
    </r>
  </si>
  <si>
    <t>Manutenção do Meio Ambiente</t>
  </si>
  <si>
    <t>Manutenção do Serviço de Coleta e Destinação Final de Resíduos Sólidos</t>
  </si>
  <si>
    <t>Processo Ministério Público – Antigo Lixão</t>
  </si>
  <si>
    <r>
      <t>PROGRAMA</t>
    </r>
    <r>
      <rPr>
        <b/>
        <sz val="10"/>
        <rFont val="Times New Roman"/>
        <family val="1"/>
      </rPr>
      <t>: DESENVOLVIMENTO DA CULTURA – ESPORTE - TURISMO</t>
    </r>
  </si>
  <si>
    <t>OBJETIVO: Desenvolver atividades voltados  a ampliação e melhoria dos serviços nas áreas  de CULTURA, ESPORTE E TURISMO ampliando a sua oferta.</t>
  </si>
  <si>
    <t>Manutenção da Secretaria de Desporto e Turismo</t>
  </si>
  <si>
    <t>Equipamento e materiais permanentes</t>
  </si>
  <si>
    <t>Equipamentos adquiridos</t>
  </si>
  <si>
    <t>Execução dos Calendários de Eventos culturais e esportivos</t>
  </si>
  <si>
    <t>Atendimento de Atividades Culturais e Esportivas</t>
  </si>
  <si>
    <t>Incentivo às instituições legalmente constituídas através de subsídios para aporte as atividades culturais e esportivas</t>
  </si>
  <si>
    <t>Instituições atendidas</t>
  </si>
  <si>
    <t>Participação e apoio as atividades de fomento ao turismo</t>
  </si>
  <si>
    <t>Atividades atendidas</t>
  </si>
  <si>
    <t>Construção e Reestruturação de Centro de Eventos Esportivos e Espaços Múltiplos de Lazer</t>
  </si>
  <si>
    <t>Restauração do Armazém Cultural</t>
  </si>
  <si>
    <t>Adequação da Estrutura Física da Biblioteca</t>
  </si>
  <si>
    <t xml:space="preserve">OBJETIVO: Promover a qualidade do serviço público e do atendimento ao cidadão através do fortalecimento e da modernização das estruturas administrativas e de políticas </t>
  </si>
  <si>
    <t>continuadas de valorização e qualificação dos servidores.</t>
  </si>
  <si>
    <t xml:space="preserve">OBJETIVO: Promover a qualidade do atendimento ao Servidor Público(Ativo, Inativo e Pensionistas) através do fortalecimento </t>
  </si>
  <si>
    <t>e da modernização das estruturas administrativas e de políticas continuadas de valorização e qualificação dos servidores.</t>
  </si>
  <si>
    <t xml:space="preserve">OBJETIVO: Planejar e executar a política financeira, tributária e contábil do município; Buscar e garantir o equilíbrio entre receitas e despesas, através da modernização dos </t>
  </si>
  <si>
    <t>serviços prestados pela secretaria, necessários para garantir o desenvolvimento do município; Aprimorar a qualidade dos serviços prestados à coletividade.</t>
  </si>
  <si>
    <t xml:space="preserve">OBJETIVO: Criar as condições imprescindíveis para garantir uma educação básica de qualidade; Visualizar o atendimento educacional de crianças de 0 a 5 anos; Universalizar </t>
  </si>
  <si>
    <t xml:space="preserve">o ensino fundamental; Garantir atendimento educacional a pessoas portadoras de necessidades educativas especiais; Incentivar a educação de jovens e adultos; Garantir condições </t>
  </si>
  <si>
    <t xml:space="preserve">físicas e de segurança para as escolas municipais; Assegurar equipamentos e material didático-pedagógico para as escolas; Melhorar a gestão dos recursos humanos das escolas </t>
  </si>
  <si>
    <t>municipais; Qualificar a gestão do sistema municipal de educação; Implantar gradativamente a Educação em tempo integral.</t>
  </si>
  <si>
    <t xml:space="preserve">OBJETIVO: Ampliar e melhorar a qualidade dos serviços básicos de saúde; Qualificar o sistema de saúde do município e melhorar o atendimento à população, com ênfase nas ações </t>
  </si>
  <si>
    <t xml:space="preserve">preventivas através da implantação da Estratégia da Saúde da Família, e da reestruturação da rede de atenção básica; Identificar, monitorar e prevenir doenças, agravos e fatores de </t>
  </si>
  <si>
    <t>risco que possam afetar a saúde humana. OBS. Acompanha, em anexo, a descrição dos programas e ações.</t>
  </si>
  <si>
    <t xml:space="preserve">OBJETIVO: Qualificar o sistema de saúde do município e melhorar o atendimento à população, com ênfase nas ações preventivas através da implantação da estratégia da saúde </t>
  </si>
  <si>
    <t>da família.</t>
  </si>
  <si>
    <t xml:space="preserve">OBJETIVO: Conservar vias públicas, através de programa de conservação permanente; Recuperar pontes, alargamento e elevação de plataformas e limpeza de arroios; Melhorar as </t>
  </si>
  <si>
    <t xml:space="preserve">condições de trafegabilidade; Eficientizar e ampliar o sistema de iluminação pública no município; Realizar serviços de apoio operacional através da execução de roçadas em áreas </t>
  </si>
  <si>
    <t>designadas pelo município, praças, canteiros e próprios municipais; Sinalizar Vias Públicas, com revitalização da sinalização horizontal, vertical, faixas de segurança de pedestres.</t>
  </si>
  <si>
    <t xml:space="preserve">OBJETIVO: Promover a melhoria da qualidade do meio ambiente através do monitoramento e do controle ambiental; Desenvolver ações de preservação do Meio Ambiente, através </t>
  </si>
  <si>
    <t>da divulgação de projetos, conscientizando a comunidade da necessidade de preservação.</t>
  </si>
  <si>
    <t>PROJEÇÃO ATUARIAL DO RPPS</t>
  </si>
  <si>
    <t>Exercíocio de 2018</t>
  </si>
  <si>
    <t>AMF – Tabela 7 (LRF, art.4º, § 2º, inciso IV, alínea “a”)</t>
  </si>
  <si>
    <t>RECEITAS PREVIDENCIÁRIAS</t>
  </si>
  <si>
    <t>DESPESAS PREVIDENCIÁRIAS</t>
  </si>
  <si>
    <t>RESULTADO PREVIDENCIÁRIO</t>
  </si>
  <si>
    <t>DO EXERCÍCIO</t>
  </si>
  <si>
    <t>(c) = (a-b)</t>
  </si>
  <si>
    <t>(d) = (d Exercício</t>
  </si>
  <si>
    <t>anterior) + (c)</t>
  </si>
  <si>
    <t>FONTE: CÁLCULO ATUARIAL DO FUNDO DE PREVIDÊNCIA SOCIAL</t>
  </si>
  <si>
    <t>Fonte: Sistema TECNOSISTEMAS, Unidade Responsável CONTABILIDADE</t>
  </si>
  <si>
    <r>
      <t xml:space="preserve">Fonte: </t>
    </r>
    <r>
      <rPr>
        <sz val="10"/>
        <rFont val="Times New Roman"/>
        <family val="1"/>
      </rPr>
      <t>Fonte: Sistema TECNOSISTEMAS, Unidade Responsável CONTABILIDADE</t>
    </r>
  </si>
  <si>
    <t>Fonte: Fonte: Sistema TECNOSISTEMAS, Unidade Responsável CONTABILIDADE</t>
  </si>
  <si>
    <t> Fonte: Sistema TECNOSISTEMAS, Unidade Responsável CONTABILIDADE</t>
  </si>
  <si>
    <t>Obs: A coluna "d" - Saldo Financeiro do Exercício, quando positivo, está sendo corrigida com a taxa de juros atuarial (6% a.a.)</t>
  </si>
  <si>
    <t>IPTU</t>
  </si>
  <si>
    <t>Concessão de</t>
  </si>
  <si>
    <t xml:space="preserve"> isenção não geral</t>
  </si>
  <si>
    <t>Programa de</t>
  </si>
  <si>
    <t>Incentivo Empresas</t>
  </si>
  <si>
    <t>2 - Os valores da renúncia projetados para 2020 e 2021, foram claculados a partir dos valores de 2019, apli</t>
  </si>
  <si>
    <t xml:space="preserve">Abertura de Créditos Adicionais a partir da </t>
  </si>
  <si>
    <t>Rerserva de Contingência</t>
  </si>
  <si>
    <t>Limitação de empenhos conforme LDO</t>
  </si>
  <si>
    <r>
      <t>ARF (LRF, art 4</t>
    </r>
    <r>
      <rPr>
        <u/>
        <vertAlign val="superscript"/>
        <sz val="11"/>
        <rFont val="Times New Roman"/>
        <family val="1"/>
      </rPr>
      <t>o</t>
    </r>
    <r>
      <rPr>
        <sz val="11"/>
        <rFont val="Times New Roman"/>
        <family val="1"/>
      </rPr>
      <t>, § 3</t>
    </r>
    <r>
      <rPr>
        <u/>
        <vertAlign val="superscript"/>
        <sz val="11"/>
        <rFont val="Times New Roman"/>
        <family val="1"/>
      </rPr>
      <t>o</t>
    </r>
    <r>
      <rPr>
        <sz val="11"/>
        <rFont val="Times New Roman"/>
        <family val="1"/>
      </rPr>
      <t>)</t>
    </r>
  </si>
  <si>
    <t>Deduções da Receita de Impostos</t>
  </si>
  <si>
    <t>Demais Deduções da Receita Corrente</t>
  </si>
  <si>
    <t>Demais Deduções da Receita de Capital</t>
  </si>
  <si>
    <t>Pessoal  - Executivo / Indiretas</t>
  </si>
  <si>
    <t>MUNICÍPIO DE: PORTÃO</t>
  </si>
  <si>
    <t xml:space="preserve">                          ANEXO  III -  METAS E PRIORIDADES</t>
  </si>
</sst>
</file>

<file path=xl/styles.xml><?xml version="1.0" encoding="utf-8"?>
<styleSheet xmlns="http://schemas.openxmlformats.org/spreadsheetml/2006/main">
  <numFmts count="9">
    <numFmt numFmtId="8" formatCode="&quot;R$&quot;\ #,##0.00;[Red]\-&quot;R$&quot;\ #,##0.00"/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-&quot;??_);_(@_)"/>
    <numFmt numFmtId="166" formatCode="_(&quot;R$&quot;* #,##0.00_);_(&quot;R$&quot;* \(#,##0.00\);_(&quot;R$&quot;* &quot;-&quot;??_);_(@_)"/>
    <numFmt numFmtId="167" formatCode="0_);[Red]\(0\)"/>
    <numFmt numFmtId="168" formatCode="0.000%"/>
    <numFmt numFmtId="169" formatCode="0&quot;.&quot;0&quot;.&quot;0&quot;.&quot;0&quot;.&quot;00&quot;.&quot;0&quot;.&quot;0"/>
    <numFmt numFmtId="170" formatCode="_(* #,##0_);_(* \(#,##0\);_(* &quot;-&quot;??_);_(@_)"/>
  </numFmts>
  <fonts count="59">
    <font>
      <sz val="10"/>
      <name val="Arial"/>
    </font>
    <font>
      <sz val="10"/>
      <name val="Arial"/>
    </font>
    <font>
      <b/>
      <sz val="12"/>
      <color indexed="17"/>
      <name val="Helv"/>
    </font>
    <font>
      <sz val="12"/>
      <color indexed="17"/>
      <name val="Helv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indexed="57"/>
      <name val="Arial"/>
      <family val="2"/>
    </font>
    <font>
      <b/>
      <sz val="14"/>
      <color indexed="57"/>
      <name val="Arial"/>
      <family val="2"/>
    </font>
    <font>
      <b/>
      <sz val="14"/>
      <name val="Arial"/>
      <family val="2"/>
    </font>
    <font>
      <b/>
      <sz val="12"/>
      <name val="Helv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Helv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7"/>
      <name val="Arial"/>
      <family val="2"/>
    </font>
    <font>
      <b/>
      <sz val="9"/>
      <color indexed="17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b/>
      <sz val="9"/>
      <name val="Wingdings"/>
      <charset val="2"/>
    </font>
    <font>
      <sz val="11"/>
      <color indexed="8"/>
      <name val="Calibri"/>
      <family val="2"/>
    </font>
    <font>
      <sz val="14"/>
      <name val="Arial"/>
      <family val="2"/>
    </font>
    <font>
      <b/>
      <sz val="12"/>
      <color indexed="57"/>
      <name val="Arial"/>
      <family val="2"/>
    </font>
    <font>
      <sz val="14"/>
      <color indexed="17"/>
      <name val="Helv"/>
    </font>
    <font>
      <sz val="8"/>
      <name val="Arial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u/>
      <sz val="10"/>
      <name val="Times New Roman"/>
      <family val="1"/>
    </font>
    <font>
      <b/>
      <i/>
      <sz val="10"/>
      <name val="Times New Roman"/>
      <family val="1"/>
    </font>
    <font>
      <b/>
      <sz val="10.5"/>
      <name val="Times New Roman"/>
      <family val="1"/>
    </font>
    <font>
      <b/>
      <sz val="10"/>
      <name val="Wingdings"/>
      <charset val="2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6.5"/>
      <name val="Times New Roman"/>
      <family val="1"/>
    </font>
    <font>
      <sz val="6"/>
      <name val="Times New Roman"/>
      <family val="1"/>
    </font>
    <font>
      <u/>
      <vertAlign val="superscript"/>
      <sz val="11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22"/>
      </patternFill>
    </fill>
    <fill>
      <patternFill patternType="gray0625">
        <bgColor indexed="9"/>
      </patternFill>
    </fill>
    <fill>
      <patternFill patternType="solid">
        <fgColor indexed="27"/>
        <bgColor indexed="22"/>
      </patternFill>
    </fill>
    <fill>
      <patternFill patternType="solid">
        <fgColor theme="0"/>
        <bgColor indexed="64"/>
      </patternFill>
    </fill>
    <fill>
      <patternFill patternType="gray0625">
        <b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22"/>
      </patternFill>
    </fill>
    <fill>
      <patternFill patternType="solid">
        <fgColor theme="3" tint="0.79998168889431442"/>
        <bgColor indexed="5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dashed">
        <color indexed="64"/>
      </top>
      <bottom/>
      <diagonal/>
    </border>
    <border>
      <left style="hair">
        <color indexed="64"/>
      </left>
      <right style="hair">
        <color indexed="64"/>
      </right>
      <top style="dashed">
        <color indexed="64"/>
      </top>
      <bottom/>
      <diagonal/>
    </border>
    <border>
      <left style="hair">
        <color indexed="64"/>
      </left>
      <right/>
      <top style="dashed">
        <color indexed="64"/>
      </top>
      <bottom/>
      <diagonal/>
    </border>
    <border>
      <left style="hair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/>
      <right style="thin">
        <color indexed="64"/>
      </right>
      <top style="thin">
        <color indexed="9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9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27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837">
    <xf numFmtId="0" fontId="0" fillId="0" borderId="0" xfId="0"/>
    <xf numFmtId="38" fontId="3" fillId="0" borderId="0" xfId="0" applyNumberFormat="1" applyFont="1" applyProtection="1">
      <protection locked="0"/>
    </xf>
    <xf numFmtId="38" fontId="3" fillId="0" borderId="0" xfId="0" applyNumberFormat="1" applyFont="1" applyBorder="1" applyProtection="1">
      <protection locked="0"/>
    </xf>
    <xf numFmtId="38" fontId="2" fillId="0" borderId="0" xfId="0" applyNumberFormat="1" applyFont="1" applyProtection="1">
      <protection locked="0"/>
    </xf>
    <xf numFmtId="38" fontId="3" fillId="0" borderId="0" xfId="0" applyNumberFormat="1" applyFont="1"/>
    <xf numFmtId="38" fontId="2" fillId="0" borderId="0" xfId="0" applyNumberFormat="1" applyFont="1" applyBorder="1" applyProtection="1">
      <protection locked="0"/>
    </xf>
    <xf numFmtId="9" fontId="3" fillId="2" borderId="0" xfId="3" applyFont="1" applyFill="1" applyBorder="1" applyProtection="1">
      <protection locked="0"/>
    </xf>
    <xf numFmtId="0" fontId="4" fillId="0" borderId="0" xfId="0" applyFont="1"/>
    <xf numFmtId="0" fontId="7" fillId="3" borderId="0" xfId="0" applyFont="1" applyFill="1"/>
    <xf numFmtId="0" fontId="8" fillId="3" borderId="0" xfId="0" applyFont="1" applyFill="1"/>
    <xf numFmtId="0" fontId="9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10" fillId="2" borderId="0" xfId="0" applyNumberFormat="1" applyFont="1" applyFill="1" applyBorder="1" applyAlignment="1" applyProtection="1">
      <alignment horizontal="left" vertical="center"/>
      <protection locked="0"/>
    </xf>
    <xf numFmtId="38" fontId="17" fillId="0" borderId="0" xfId="0" applyNumberFormat="1" applyFont="1" applyProtection="1">
      <protection locked="0"/>
    </xf>
    <xf numFmtId="167" fontId="10" fillId="3" borderId="1" xfId="0" applyNumberFormat="1" applyFont="1" applyFill="1" applyBorder="1" applyAlignment="1" applyProtection="1">
      <alignment horizontal="center"/>
      <protection locked="0"/>
    </xf>
    <xf numFmtId="167" fontId="10" fillId="3" borderId="2" xfId="0" applyNumberFormat="1" applyFont="1" applyFill="1" applyBorder="1" applyAlignment="1" applyProtection="1">
      <alignment horizontal="center"/>
      <protection locked="0"/>
    </xf>
    <xf numFmtId="38" fontId="10" fillId="0" borderId="1" xfId="0" applyNumberFormat="1" applyFont="1" applyBorder="1" applyProtection="1">
      <protection locked="0"/>
    </xf>
    <xf numFmtId="38" fontId="10" fillId="0" borderId="2" xfId="0" applyNumberFormat="1" applyFont="1" applyBorder="1" applyProtection="1">
      <protection locked="0"/>
    </xf>
    <xf numFmtId="38" fontId="10" fillId="2" borderId="2" xfId="0" applyNumberFormat="1" applyFont="1" applyFill="1" applyBorder="1" applyProtection="1">
      <protection locked="0"/>
    </xf>
    <xf numFmtId="38" fontId="10" fillId="0" borderId="3" xfId="0" applyNumberFormat="1" applyFont="1" applyBorder="1" applyProtection="1">
      <protection locked="0"/>
    </xf>
    <xf numFmtId="38" fontId="10" fillId="2" borderId="4" xfId="0" applyNumberFormat="1" applyFont="1" applyFill="1" applyBorder="1" applyProtection="1">
      <protection locked="0"/>
    </xf>
    <xf numFmtId="38" fontId="10" fillId="0" borderId="5" xfId="0" applyNumberFormat="1" applyFont="1" applyBorder="1" applyProtection="1">
      <protection locked="0"/>
    </xf>
    <xf numFmtId="0" fontId="19" fillId="0" borderId="0" xfId="0" applyFont="1"/>
    <xf numFmtId="0" fontId="21" fillId="0" borderId="0" xfId="0" applyFont="1"/>
    <xf numFmtId="3" fontId="21" fillId="0" borderId="0" xfId="0" applyNumberFormat="1" applyFont="1"/>
    <xf numFmtId="0" fontId="20" fillId="0" borderId="0" xfId="0" applyFont="1"/>
    <xf numFmtId="4" fontId="21" fillId="2" borderId="0" xfId="3" applyNumberFormat="1" applyFont="1" applyFill="1" applyBorder="1"/>
    <xf numFmtId="0" fontId="21" fillId="0" borderId="0" xfId="0" applyFont="1" applyFill="1"/>
    <xf numFmtId="0" fontId="23" fillId="0" borderId="0" xfId="0" applyFont="1"/>
    <xf numFmtId="0" fontId="22" fillId="0" borderId="0" xfId="0" applyFont="1"/>
    <xf numFmtId="10" fontId="0" fillId="0" borderId="0" xfId="0" applyNumberFormat="1"/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4" fontId="6" fillId="2" borderId="0" xfId="3" applyNumberFormat="1" applyFont="1" applyFill="1" applyBorder="1"/>
    <xf numFmtId="4" fontId="15" fillId="2" borderId="0" xfId="3" applyNumberFormat="1" applyFont="1" applyFill="1" applyBorder="1"/>
    <xf numFmtId="0" fontId="6" fillId="0" borderId="0" xfId="0" applyFont="1"/>
    <xf numFmtId="4" fontId="15" fillId="0" borderId="0" xfId="0" applyNumberFormat="1" applyFont="1" applyBorder="1"/>
    <xf numFmtId="0" fontId="24" fillId="0" borderId="0" xfId="0" applyFont="1" applyAlignment="1">
      <alignment horizontal="right"/>
    </xf>
    <xf numFmtId="0" fontId="18" fillId="0" borderId="0" xfId="0" applyFont="1" applyFill="1"/>
    <xf numFmtId="49" fontId="5" fillId="0" borderId="0" xfId="0" applyNumberFormat="1" applyFont="1"/>
    <xf numFmtId="0" fontId="25" fillId="0" borderId="0" xfId="0" applyFont="1"/>
    <xf numFmtId="0" fontId="25" fillId="0" borderId="0" xfId="0" applyFont="1" applyAlignment="1">
      <alignment horizontal="center" vertical="center"/>
    </xf>
    <xf numFmtId="49" fontId="25" fillId="0" borderId="0" xfId="0" applyNumberFormat="1" applyFont="1"/>
    <xf numFmtId="165" fontId="15" fillId="0" borderId="7" xfId="0" applyNumberFormat="1" applyFont="1" applyFill="1" applyBorder="1" applyProtection="1">
      <protection locked="0"/>
    </xf>
    <xf numFmtId="3" fontId="15" fillId="0" borderId="0" xfId="0" applyNumberFormat="1" applyFont="1" applyBorder="1"/>
    <xf numFmtId="165" fontId="6" fillId="0" borderId="7" xfId="0" applyNumberFormat="1" applyFont="1" applyFill="1" applyBorder="1" applyAlignment="1" applyProtection="1">
      <alignment horizontal="right"/>
      <protection locked="0"/>
    </xf>
    <xf numFmtId="165" fontId="15" fillId="0" borderId="7" xfId="0" applyNumberFormat="1" applyFont="1" applyBorder="1"/>
    <xf numFmtId="0" fontId="15" fillId="0" borderId="7" xfId="0" applyFont="1" applyBorder="1"/>
    <xf numFmtId="0" fontId="0" fillId="0" borderId="0" xfId="0" applyBorder="1"/>
    <xf numFmtId="0" fontId="13" fillId="0" borderId="0" xfId="0" applyFont="1"/>
    <xf numFmtId="0" fontId="4" fillId="0" borderId="0" xfId="0" applyFont="1" applyFill="1"/>
    <xf numFmtId="0" fontId="0" fillId="0" borderId="0" xfId="0" applyFill="1"/>
    <xf numFmtId="0" fontId="29" fillId="3" borderId="0" xfId="0" applyFont="1" applyFill="1"/>
    <xf numFmtId="0" fontId="30" fillId="0" borderId="0" xfId="0" applyFont="1" applyProtection="1">
      <protection locked="0"/>
    </xf>
    <xf numFmtId="0" fontId="28" fillId="0" borderId="0" xfId="0" applyFont="1" applyFill="1"/>
    <xf numFmtId="0" fontId="7" fillId="4" borderId="0" xfId="0" applyFont="1" applyFill="1"/>
    <xf numFmtId="0" fontId="0" fillId="4" borderId="0" xfId="0" applyFill="1"/>
    <xf numFmtId="4" fontId="10" fillId="2" borderId="2" xfId="0" applyNumberFormat="1" applyFont="1" applyFill="1" applyBorder="1" applyAlignment="1" applyProtection="1">
      <alignment vertical="center"/>
      <protection locked="0"/>
    </xf>
    <xf numFmtId="4" fontId="16" fillId="2" borderId="2" xfId="0" applyNumberFormat="1" applyFont="1" applyFill="1" applyBorder="1" applyAlignment="1" applyProtection="1">
      <protection locked="0"/>
    </xf>
    <xf numFmtId="167" fontId="16" fillId="3" borderId="1" xfId="0" applyNumberFormat="1" applyFont="1" applyFill="1" applyBorder="1" applyAlignment="1">
      <alignment horizontal="center" vertical="center"/>
    </xf>
    <xf numFmtId="167" fontId="16" fillId="3" borderId="2" xfId="0" applyNumberFormat="1" applyFont="1" applyFill="1" applyBorder="1" applyAlignment="1">
      <alignment horizontal="center" vertical="center"/>
    </xf>
    <xf numFmtId="38" fontId="3" fillId="0" borderId="0" xfId="0" applyNumberFormat="1" applyFont="1" applyFill="1" applyBorder="1" applyProtection="1">
      <protection locked="0"/>
    </xf>
    <xf numFmtId="38" fontId="3" fillId="0" borderId="0" xfId="0" applyNumberFormat="1" applyFont="1" applyFill="1" applyProtection="1">
      <protection locked="0"/>
    </xf>
    <xf numFmtId="0" fontId="30" fillId="0" borderId="0" xfId="0" applyFont="1" applyFill="1" applyProtection="1">
      <protection locked="0"/>
    </xf>
    <xf numFmtId="0" fontId="7" fillId="0" borderId="0" xfId="0" applyFont="1" applyFill="1"/>
    <xf numFmtId="0" fontId="29" fillId="0" borderId="0" xfId="0" applyFont="1" applyFill="1"/>
    <xf numFmtId="0" fontId="9" fillId="0" borderId="0" xfId="0" applyFont="1" applyFill="1"/>
    <xf numFmtId="0" fontId="8" fillId="0" borderId="0" xfId="0" applyFont="1" applyFill="1"/>
    <xf numFmtId="38" fontId="2" fillId="0" borderId="0" xfId="0" applyNumberFormat="1" applyFont="1" applyFill="1" applyProtection="1">
      <protection locked="0"/>
    </xf>
    <xf numFmtId="38" fontId="3" fillId="0" borderId="0" xfId="0" applyNumberFormat="1" applyFont="1" applyFill="1"/>
    <xf numFmtId="0" fontId="18" fillId="0" borderId="0" xfId="0" applyFont="1"/>
    <xf numFmtId="0" fontId="18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justify" vertical="top" wrapText="1"/>
    </xf>
    <xf numFmtId="0" fontId="15" fillId="0" borderId="0" xfId="0" applyFont="1" applyAlignment="1">
      <alignment wrapText="1"/>
    </xf>
    <xf numFmtId="43" fontId="0" fillId="0" borderId="0" xfId="0" applyNumberFormat="1"/>
    <xf numFmtId="0" fontId="0" fillId="0" borderId="0" xfId="0" applyAlignment="1"/>
    <xf numFmtId="3" fontId="6" fillId="4" borderId="7" xfId="0" applyNumberFormat="1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7" xfId="0" applyFont="1" applyFill="1" applyBorder="1"/>
    <xf numFmtId="165" fontId="6" fillId="4" borderId="7" xfId="0" applyNumberFormat="1" applyFont="1" applyFill="1" applyBorder="1"/>
    <xf numFmtId="165" fontId="15" fillId="4" borderId="7" xfId="0" applyNumberFormat="1" applyFont="1" applyFill="1" applyBorder="1"/>
    <xf numFmtId="0" fontId="6" fillId="4" borderId="7" xfId="0" applyFont="1" applyFill="1" applyBorder="1" applyAlignment="1">
      <alignment horizontal="left" vertical="center" wrapText="1"/>
    </xf>
    <xf numFmtId="165" fontId="6" fillId="4" borderId="7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6" fillId="4" borderId="7" xfId="0" applyFont="1" applyFill="1" applyBorder="1" applyAlignment="1">
      <alignment horizontal="center" wrapText="1"/>
    </xf>
    <xf numFmtId="0" fontId="33" fillId="0" borderId="0" xfId="0" applyFont="1"/>
    <xf numFmtId="3" fontId="33" fillId="0" borderId="0" xfId="0" applyNumberFormat="1" applyFont="1"/>
    <xf numFmtId="0" fontId="32" fillId="0" borderId="0" xfId="0" applyFont="1"/>
    <xf numFmtId="0" fontId="34" fillId="0" borderId="0" xfId="0" applyFont="1"/>
    <xf numFmtId="0" fontId="6" fillId="5" borderId="7" xfId="0" applyFont="1" applyFill="1" applyBorder="1"/>
    <xf numFmtId="3" fontId="6" fillId="4" borderId="7" xfId="0" applyNumberFormat="1" applyFont="1" applyFill="1" applyBorder="1" applyAlignment="1">
      <alignment horizontal="center" wrapText="1"/>
    </xf>
    <xf numFmtId="165" fontId="6" fillId="5" borderId="7" xfId="0" applyNumberFormat="1" applyFont="1" applyFill="1" applyBorder="1" applyProtection="1">
      <protection locked="0"/>
    </xf>
    <xf numFmtId="165" fontId="35" fillId="0" borderId="7" xfId="0" applyNumberFormat="1" applyFont="1" applyFill="1" applyBorder="1"/>
    <xf numFmtId="165" fontId="35" fillId="11" borderId="7" xfId="0" applyNumberFormat="1" applyFont="1" applyFill="1" applyBorder="1"/>
    <xf numFmtId="0" fontId="36" fillId="4" borderId="6" xfId="0" applyNumberFormat="1" applyFont="1" applyFill="1" applyBorder="1" applyAlignment="1" applyProtection="1">
      <alignment horizontal="center" vertical="center"/>
      <protection locked="0"/>
    </xf>
    <xf numFmtId="167" fontId="36" fillId="4" borderId="22" xfId="0" applyNumberFormat="1" applyFont="1" applyFill="1" applyBorder="1" applyAlignment="1">
      <alignment horizontal="center" vertical="center"/>
    </xf>
    <xf numFmtId="167" fontId="36" fillId="4" borderId="23" xfId="0" applyNumberFormat="1" applyFont="1" applyFill="1" applyBorder="1" applyAlignment="1" applyProtection="1">
      <alignment horizontal="center"/>
      <protection locked="0"/>
    </xf>
    <xf numFmtId="167" fontId="36" fillId="4" borderId="24" xfId="0" applyNumberFormat="1" applyFont="1" applyFill="1" applyBorder="1" applyAlignment="1" applyProtection="1">
      <alignment horizontal="center"/>
      <protection locked="0"/>
    </xf>
    <xf numFmtId="167" fontId="36" fillId="4" borderId="25" xfId="0" applyNumberFormat="1" applyFont="1" applyFill="1" applyBorder="1" applyAlignment="1" applyProtection="1">
      <alignment horizontal="center"/>
      <protection locked="0"/>
    </xf>
    <xf numFmtId="167" fontId="36" fillId="4" borderId="26" xfId="0" applyNumberFormat="1" applyFont="1" applyFill="1" applyBorder="1" applyAlignment="1" applyProtection="1">
      <alignment horizontal="center"/>
      <protection locked="0"/>
    </xf>
    <xf numFmtId="0" fontId="36" fillId="4" borderId="0" xfId="0" applyNumberFormat="1" applyFont="1" applyFill="1" applyBorder="1" applyAlignment="1" applyProtection="1">
      <alignment horizontal="center" vertical="center"/>
      <protection locked="0"/>
    </xf>
    <xf numFmtId="166" fontId="36" fillId="4" borderId="27" xfId="1" applyFont="1" applyFill="1" applyBorder="1" applyAlignment="1">
      <alignment horizontal="center" vertical="center"/>
    </xf>
    <xf numFmtId="167" fontId="36" fillId="4" borderId="1" xfId="0" applyNumberFormat="1" applyFont="1" applyFill="1" applyBorder="1" applyAlignment="1">
      <alignment horizontal="center" vertical="center"/>
    </xf>
    <xf numFmtId="167" fontId="36" fillId="4" borderId="2" xfId="0" applyNumberFormat="1" applyFont="1" applyFill="1" applyBorder="1" applyAlignment="1">
      <alignment horizontal="center" vertical="center"/>
    </xf>
    <xf numFmtId="0" fontId="36" fillId="4" borderId="17" xfId="2" applyFont="1" applyFill="1" applyBorder="1" applyAlignment="1">
      <alignment vertical="center"/>
    </xf>
    <xf numFmtId="0" fontId="36" fillId="4" borderId="17" xfId="2" applyNumberFormat="1" applyFont="1" applyFill="1" applyBorder="1" applyAlignment="1">
      <alignment vertical="center" wrapText="1"/>
    </xf>
    <xf numFmtId="43" fontId="36" fillId="4" borderId="1" xfId="0" applyNumberFormat="1" applyFont="1" applyFill="1" applyBorder="1" applyAlignment="1" applyProtection="1">
      <alignment horizontal="right"/>
      <protection locked="0"/>
    </xf>
    <xf numFmtId="0" fontId="36" fillId="4" borderId="7" xfId="2" applyFont="1" applyFill="1" applyBorder="1" applyAlignment="1">
      <alignment vertical="center"/>
    </xf>
    <xf numFmtId="0" fontId="36" fillId="4" borderId="7" xfId="2" applyNumberFormat="1" applyFont="1" applyFill="1" applyBorder="1" applyAlignment="1">
      <alignment vertical="center" wrapText="1"/>
    </xf>
    <xf numFmtId="43" fontId="36" fillId="4" borderId="7" xfId="0" applyNumberFormat="1" applyFont="1" applyFill="1" applyBorder="1"/>
    <xf numFmtId="0" fontId="35" fillId="4" borderId="7" xfId="2" applyFont="1" applyFill="1" applyBorder="1" applyAlignment="1">
      <alignment vertical="center"/>
    </xf>
    <xf numFmtId="0" fontId="35" fillId="4" borderId="7" xfId="2" applyNumberFormat="1" applyFont="1" applyFill="1" applyBorder="1" applyAlignment="1">
      <alignment vertical="center" wrapText="1"/>
    </xf>
    <xf numFmtId="43" fontId="35" fillId="0" borderId="7" xfId="0" applyNumberFormat="1" applyFont="1" applyFill="1" applyBorder="1"/>
    <xf numFmtId="43" fontId="35" fillId="4" borderId="7" xfId="0" applyNumberFormat="1" applyFont="1" applyFill="1" applyBorder="1"/>
    <xf numFmtId="0" fontId="36" fillId="6" borderId="7" xfId="2" applyFont="1" applyFill="1" applyBorder="1" applyAlignment="1">
      <alignment vertical="center"/>
    </xf>
    <xf numFmtId="0" fontId="36" fillId="6" borderId="7" xfId="2" applyNumberFormat="1" applyFont="1" applyFill="1" applyBorder="1" applyAlignment="1">
      <alignment vertical="center" wrapText="1"/>
    </xf>
    <xf numFmtId="43" fontId="36" fillId="6" borderId="7" xfId="0" applyNumberFormat="1" applyFont="1" applyFill="1" applyBorder="1"/>
    <xf numFmtId="0" fontId="35" fillId="4" borderId="7" xfId="2" applyFont="1" applyFill="1" applyBorder="1" applyAlignment="1">
      <alignment vertical="center" wrapText="1"/>
    </xf>
    <xf numFmtId="0" fontId="36" fillId="5" borderId="7" xfId="2" applyFont="1" applyFill="1" applyBorder="1" applyAlignment="1">
      <alignment vertical="center"/>
    </xf>
    <xf numFmtId="0" fontId="36" fillId="5" borderId="7" xfId="2" applyNumberFormat="1" applyFont="1" applyFill="1" applyBorder="1" applyAlignment="1">
      <alignment vertical="center" wrapText="1"/>
    </xf>
    <xf numFmtId="43" fontId="36" fillId="5" borderId="7" xfId="0" applyNumberFormat="1" applyFont="1" applyFill="1" applyBorder="1"/>
    <xf numFmtId="43" fontId="35" fillId="2" borderId="7" xfId="0" applyNumberFormat="1" applyFont="1" applyFill="1" applyBorder="1"/>
    <xf numFmtId="169" fontId="35" fillId="4" borderId="7" xfId="2" applyNumberFormat="1" applyFont="1" applyFill="1" applyBorder="1" applyAlignment="1">
      <alignment vertical="center" wrapText="1"/>
    </xf>
    <xf numFmtId="0" fontId="35" fillId="4" borderId="16" xfId="2" applyFont="1" applyFill="1" applyBorder="1" applyAlignment="1">
      <alignment vertical="center"/>
    </xf>
    <xf numFmtId="165" fontId="36" fillId="4" borderId="7" xfId="0" applyNumberFormat="1" applyFont="1" applyFill="1" applyBorder="1"/>
    <xf numFmtId="0" fontId="35" fillId="4" borderId="0" xfId="0" applyFont="1" applyFill="1" applyBorder="1"/>
    <xf numFmtId="0" fontId="35" fillId="4" borderId="11" xfId="0" applyFont="1" applyFill="1" applyBorder="1"/>
    <xf numFmtId="165" fontId="35" fillId="4" borderId="7" xfId="0" applyNumberFormat="1" applyFont="1" applyFill="1" applyBorder="1"/>
    <xf numFmtId="0" fontId="36" fillId="4" borderId="19" xfId="0" applyFont="1" applyFill="1" applyBorder="1"/>
    <xf numFmtId="0" fontId="36" fillId="4" borderId="10" xfId="0" applyFont="1" applyFill="1" applyBorder="1"/>
    <xf numFmtId="0" fontId="35" fillId="0" borderId="0" xfId="0" applyFont="1" applyFill="1"/>
    <xf numFmtId="3" fontId="35" fillId="0" borderId="0" xfId="0" applyNumberFormat="1" applyFont="1" applyFill="1"/>
    <xf numFmtId="3" fontId="38" fillId="0" borderId="0" xfId="0" applyNumberFormat="1" applyFont="1" applyFill="1"/>
    <xf numFmtId="165" fontId="35" fillId="7" borderId="7" xfId="0" applyNumberFormat="1" applyFont="1" applyFill="1" applyBorder="1"/>
    <xf numFmtId="0" fontId="36" fillId="0" borderId="0" xfId="0" applyFont="1" applyBorder="1" applyAlignment="1" applyProtection="1">
      <alignment horizontal="center"/>
      <protection locked="0"/>
    </xf>
    <xf numFmtId="0" fontId="39" fillId="0" borderId="0" xfId="0" applyFont="1" applyBorder="1" applyAlignment="1" applyProtection="1">
      <alignment horizontal="left"/>
      <protection locked="0"/>
    </xf>
    <xf numFmtId="38" fontId="35" fillId="0" borderId="0" xfId="0" applyNumberFormat="1" applyFont="1" applyBorder="1" applyAlignment="1" applyProtection="1">
      <alignment horizontal="centerContinuous"/>
      <protection locked="0"/>
    </xf>
    <xf numFmtId="0" fontId="36" fillId="2" borderId="0" xfId="0" applyFont="1" applyFill="1" applyBorder="1" applyAlignment="1" applyProtection="1">
      <protection locked="0"/>
    </xf>
    <xf numFmtId="0" fontId="40" fillId="2" borderId="0" xfId="0" applyFont="1" applyFill="1" applyBorder="1" applyAlignment="1" applyProtection="1">
      <alignment horizontal="right"/>
      <protection locked="0"/>
    </xf>
    <xf numFmtId="0" fontId="36" fillId="4" borderId="28" xfId="0" applyFont="1" applyFill="1" applyBorder="1"/>
    <xf numFmtId="0" fontId="36" fillId="4" borderId="11" xfId="0" applyFont="1" applyFill="1" applyBorder="1"/>
    <xf numFmtId="0" fontId="35" fillId="4" borderId="28" xfId="0" applyFont="1" applyFill="1" applyBorder="1"/>
    <xf numFmtId="0" fontId="35" fillId="4" borderId="12" xfId="0" applyFont="1" applyFill="1" applyBorder="1"/>
    <xf numFmtId="0" fontId="35" fillId="4" borderId="19" xfId="0" applyFont="1" applyFill="1" applyBorder="1"/>
    <xf numFmtId="49" fontId="35" fillId="0" borderId="29" xfId="0" applyNumberFormat="1" applyFont="1" applyBorder="1" applyAlignment="1">
      <alignment horizontal="justify" wrapText="1"/>
    </xf>
    <xf numFmtId="0" fontId="35" fillId="0" borderId="30" xfId="0" applyFont="1" applyBorder="1" applyAlignment="1">
      <alignment horizontal="justify" wrapText="1"/>
    </xf>
    <xf numFmtId="0" fontId="35" fillId="0" borderId="31" xfId="0" applyFont="1" applyBorder="1" applyAlignment="1">
      <alignment horizontal="justify" wrapText="1"/>
    </xf>
    <xf numFmtId="0" fontId="35" fillId="4" borderId="32" xfId="0" applyFont="1" applyFill="1" applyBorder="1" applyAlignment="1">
      <alignment horizontal="center" vertical="top" wrapText="1"/>
    </xf>
    <xf numFmtId="0" fontId="35" fillId="4" borderId="33" xfId="0" applyFont="1" applyFill="1" applyBorder="1" applyAlignment="1">
      <alignment horizontal="center" vertical="top" wrapText="1"/>
    </xf>
    <xf numFmtId="0" fontId="35" fillId="4" borderId="34" xfId="0" applyFont="1" applyFill="1" applyBorder="1" applyAlignment="1">
      <alignment horizontal="center" wrapText="1"/>
    </xf>
    <xf numFmtId="0" fontId="35" fillId="4" borderId="35" xfId="0" applyFont="1" applyFill="1" applyBorder="1" applyAlignment="1">
      <alignment horizontal="center" vertical="top" wrapText="1"/>
    </xf>
    <xf numFmtId="0" fontId="35" fillId="4" borderId="36" xfId="0" applyFont="1" applyFill="1" applyBorder="1" applyAlignment="1">
      <alignment horizontal="center" vertical="top" wrapText="1"/>
    </xf>
    <xf numFmtId="0" fontId="35" fillId="4" borderId="30" xfId="0" applyFont="1" applyFill="1" applyBorder="1" applyAlignment="1">
      <alignment horizontal="center" wrapText="1"/>
    </xf>
    <xf numFmtId="0" fontId="35" fillId="4" borderId="37" xfId="0" applyFont="1" applyFill="1" applyBorder="1" applyAlignment="1">
      <alignment horizontal="center" vertical="top" wrapText="1"/>
    </xf>
    <xf numFmtId="0" fontId="35" fillId="4" borderId="38" xfId="0" applyFont="1" applyFill="1" applyBorder="1" applyAlignment="1">
      <alignment vertical="top" wrapText="1"/>
    </xf>
    <xf numFmtId="0" fontId="35" fillId="4" borderId="38" xfId="0" applyFont="1" applyFill="1" applyBorder="1" applyAlignment="1">
      <alignment horizontal="center" vertical="top" wrapText="1"/>
    </xf>
    <xf numFmtId="0" fontId="35" fillId="4" borderId="13" xfId="0" applyFont="1" applyFill="1" applyBorder="1" applyAlignment="1">
      <alignment horizontal="center" wrapText="1"/>
    </xf>
    <xf numFmtId="0" fontId="35" fillId="4" borderId="11" xfId="0" applyFont="1" applyFill="1" applyBorder="1" applyAlignment="1">
      <alignment wrapText="1"/>
    </xf>
    <xf numFmtId="43" fontId="35" fillId="8" borderId="11" xfId="0" applyNumberFormat="1" applyFont="1" applyFill="1" applyBorder="1" applyAlignment="1">
      <alignment wrapText="1"/>
    </xf>
    <xf numFmtId="4" fontId="35" fillId="8" borderId="11" xfId="0" applyNumberFormat="1" applyFont="1" applyFill="1" applyBorder="1" applyAlignment="1">
      <alignment wrapText="1"/>
    </xf>
    <xf numFmtId="0" fontId="35" fillId="0" borderId="0" xfId="0" applyFont="1" applyAlignment="1">
      <alignment wrapText="1"/>
    </xf>
    <xf numFmtId="0" fontId="35" fillId="0" borderId="0" xfId="0" applyFont="1"/>
    <xf numFmtId="0" fontId="35" fillId="0" borderId="9" xfId="0" applyFont="1" applyFill="1" applyBorder="1" applyAlignment="1">
      <alignment wrapText="1"/>
    </xf>
    <xf numFmtId="0" fontId="35" fillId="0" borderId="7" xfId="0" applyFont="1" applyFill="1" applyBorder="1" applyAlignment="1">
      <alignment horizontal="center" vertical="top" wrapText="1"/>
    </xf>
    <xf numFmtId="0" fontId="35" fillId="0" borderId="7" xfId="0" applyFont="1" applyFill="1" applyBorder="1" applyAlignment="1">
      <alignment horizontal="center" wrapText="1"/>
    </xf>
    <xf numFmtId="0" fontId="35" fillId="0" borderId="7" xfId="0" applyFont="1" applyFill="1" applyBorder="1" applyAlignment="1">
      <alignment wrapText="1"/>
    </xf>
    <xf numFmtId="43" fontId="35" fillId="0" borderId="7" xfId="0" applyNumberFormat="1" applyFont="1" applyFill="1" applyBorder="1" applyAlignment="1">
      <alignment wrapText="1"/>
    </xf>
    <xf numFmtId="10" fontId="35" fillId="0" borderId="7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0" fontId="35" fillId="0" borderId="0" xfId="0" applyFont="1" applyFill="1" applyAlignment="1">
      <alignment horizontal="center"/>
    </xf>
    <xf numFmtId="0" fontId="36" fillId="0" borderId="10" xfId="0" applyFont="1" applyFill="1" applyBorder="1" applyAlignment="1">
      <alignment vertical="center"/>
    </xf>
    <xf numFmtId="0" fontId="35" fillId="0" borderId="0" xfId="0" applyFont="1" applyFill="1" applyBorder="1" applyAlignment="1"/>
    <xf numFmtId="0" fontId="35" fillId="0" borderId="7" xfId="0" applyFont="1" applyFill="1" applyBorder="1" applyAlignment="1"/>
    <xf numFmtId="0" fontId="35" fillId="0" borderId="7" xfId="0" applyFont="1" applyFill="1" applyBorder="1" applyAlignment="1">
      <alignment horizontal="center"/>
    </xf>
    <xf numFmtId="0" fontId="35" fillId="0" borderId="0" xfId="0" applyFont="1" applyFill="1" applyAlignment="1">
      <alignment horizontal="left" indent="1"/>
    </xf>
    <xf numFmtId="4" fontId="35" fillId="0" borderId="7" xfId="0" applyNumberFormat="1" applyFont="1" applyFill="1" applyBorder="1" applyAlignment="1">
      <alignment wrapText="1"/>
    </xf>
    <xf numFmtId="0" fontId="35" fillId="0" borderId="0" xfId="0" applyFont="1" applyFill="1" applyAlignment="1">
      <alignment horizontal="left" indent="2"/>
    </xf>
    <xf numFmtId="0" fontId="35" fillId="0" borderId="0" xfId="0" applyFont="1" applyFill="1" applyAlignment="1">
      <alignment horizontal="left" indent="3"/>
    </xf>
    <xf numFmtId="0" fontId="35" fillId="0" borderId="0" xfId="0" applyFont="1" applyFill="1" applyAlignment="1"/>
    <xf numFmtId="0" fontId="36" fillId="0" borderId="39" xfId="0" applyNumberFormat="1" applyFont="1" applyFill="1" applyBorder="1" applyAlignment="1"/>
    <xf numFmtId="0" fontId="35" fillId="0" borderId="0" xfId="0" applyNumberFormat="1" applyFont="1" applyFill="1" applyAlignment="1"/>
    <xf numFmtId="0" fontId="35" fillId="0" borderId="0" xfId="0" applyNumberFormat="1" applyFont="1" applyFill="1" applyBorder="1" applyAlignment="1"/>
    <xf numFmtId="37" fontId="36" fillId="0" borderId="16" xfId="0" applyNumberFormat="1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4" fontId="35" fillId="0" borderId="6" xfId="1" applyNumberFormat="1" applyFont="1" applyFill="1" applyBorder="1" applyAlignment="1">
      <alignment horizontal="center" vertical="center"/>
    </xf>
    <xf numFmtId="4" fontId="35" fillId="0" borderId="40" xfId="1" applyNumberFormat="1" applyFont="1" applyFill="1" applyBorder="1" applyAlignment="1">
      <alignment horizontal="center" vertical="center"/>
    </xf>
    <xf numFmtId="49" fontId="35" fillId="0" borderId="0" xfId="0" applyNumberFormat="1" applyFont="1" applyFill="1" applyAlignment="1">
      <alignment horizontal="left" vertical="center" indent="1"/>
    </xf>
    <xf numFmtId="4" fontId="35" fillId="0" borderId="0" xfId="1" applyNumberFormat="1" applyFont="1" applyFill="1" applyBorder="1" applyAlignment="1">
      <alignment horizontal="center" vertical="center"/>
    </xf>
    <xf numFmtId="4" fontId="35" fillId="0" borderId="11" xfId="1" applyNumberFormat="1" applyFont="1" applyFill="1" applyBorder="1" applyAlignment="1">
      <alignment horizontal="center" vertical="center"/>
    </xf>
    <xf numFmtId="49" fontId="35" fillId="0" borderId="0" xfId="0" applyNumberFormat="1" applyFont="1" applyFill="1" applyAlignment="1">
      <alignment vertical="center"/>
    </xf>
    <xf numFmtId="49" fontId="35" fillId="0" borderId="0" xfId="0" applyNumberFormat="1" applyFont="1" applyFill="1" applyAlignment="1">
      <alignment horizontal="left" vertical="center" indent="2"/>
    </xf>
    <xf numFmtId="4" fontId="35" fillId="0" borderId="19" xfId="1" applyNumberFormat="1" applyFont="1" applyFill="1" applyBorder="1" applyAlignment="1">
      <alignment horizontal="center" vertical="center"/>
    </xf>
    <xf numFmtId="4" fontId="35" fillId="0" borderId="10" xfId="1" applyNumberFormat="1" applyFont="1" applyFill="1" applyBorder="1" applyAlignment="1">
      <alignment horizontal="center" vertical="center"/>
    </xf>
    <xf numFmtId="49" fontId="36" fillId="0" borderId="39" xfId="0" applyNumberFormat="1" applyFont="1" applyFill="1" applyBorder="1" applyAlignment="1">
      <alignment vertical="center"/>
    </xf>
    <xf numFmtId="49" fontId="35" fillId="0" borderId="39" xfId="0" applyNumberFormat="1" applyFont="1" applyFill="1" applyBorder="1" applyAlignment="1">
      <alignment vertical="center"/>
    </xf>
    <xf numFmtId="37" fontId="36" fillId="0" borderId="39" xfId="0" applyNumberFormat="1" applyFont="1" applyFill="1" applyBorder="1" applyAlignment="1"/>
    <xf numFmtId="0" fontId="35" fillId="0" borderId="19" xfId="0" applyFont="1" applyFill="1" applyBorder="1" applyAlignment="1">
      <alignment vertical="center" wrapText="1"/>
    </xf>
    <xf numFmtId="0" fontId="35" fillId="0" borderId="0" xfId="0" applyFont="1" applyFill="1" applyBorder="1"/>
    <xf numFmtId="49" fontId="36" fillId="0" borderId="16" xfId="0" applyNumberFormat="1" applyFont="1" applyFill="1" applyBorder="1" applyAlignment="1">
      <alignment horizontal="justify" vertical="center"/>
    </xf>
    <xf numFmtId="49" fontId="36" fillId="0" borderId="0" xfId="0" applyNumberFormat="1" applyFont="1" applyFill="1" applyBorder="1" applyAlignment="1">
      <alignment horizontal="justify" vertical="center"/>
    </xf>
    <xf numFmtId="37" fontId="35" fillId="0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vertical="center" wrapText="1"/>
    </xf>
    <xf numFmtId="0" fontId="35" fillId="0" borderId="10" xfId="0" applyFont="1" applyFill="1" applyBorder="1" applyAlignment="1">
      <alignment vertical="top" wrapText="1"/>
    </xf>
    <xf numFmtId="0" fontId="35" fillId="0" borderId="0" xfId="0" applyFont="1" applyFill="1" applyBorder="1" applyAlignment="1">
      <alignment vertical="center" wrapText="1"/>
    </xf>
    <xf numFmtId="0" fontId="35" fillId="0" borderId="39" xfId="0" applyFont="1" applyFill="1" applyBorder="1" applyAlignment="1">
      <alignment vertical="top" wrapText="1"/>
    </xf>
    <xf numFmtId="37" fontId="35" fillId="0" borderId="0" xfId="0" applyNumberFormat="1" applyFont="1" applyFill="1" applyBorder="1" applyAlignment="1">
      <alignment vertical="center"/>
    </xf>
    <xf numFmtId="37" fontId="35" fillId="0" borderId="0" xfId="0" applyNumberFormat="1" applyFont="1" applyFill="1" applyBorder="1" applyAlignment="1"/>
    <xf numFmtId="0" fontId="35" fillId="0" borderId="0" xfId="0" applyFont="1" applyFill="1" applyBorder="1" applyAlignment="1">
      <alignment horizontal="left" vertical="top" wrapText="1"/>
    </xf>
    <xf numFmtId="0" fontId="35" fillId="0" borderId="0" xfId="0" applyFont="1" applyFill="1" applyBorder="1" applyAlignment="1">
      <alignment horizontal="right" vertical="top" wrapText="1"/>
    </xf>
    <xf numFmtId="0" fontId="35" fillId="0" borderId="11" xfId="0" applyFont="1" applyFill="1" applyBorder="1" applyAlignment="1">
      <alignment horizontal="left" vertical="top" wrapText="1"/>
    </xf>
    <xf numFmtId="0" fontId="35" fillId="0" borderId="10" xfId="0" applyFont="1" applyFill="1" applyBorder="1" applyAlignment="1">
      <alignment horizontal="justify" vertical="top" wrapText="1"/>
    </xf>
    <xf numFmtId="0" fontId="35" fillId="0" borderId="19" xfId="0" applyFont="1" applyFill="1" applyBorder="1" applyAlignment="1">
      <alignment horizontal="right" vertical="top" wrapText="1"/>
    </xf>
    <xf numFmtId="0" fontId="35" fillId="0" borderId="19" xfId="0" applyFont="1" applyFill="1" applyBorder="1"/>
    <xf numFmtId="0" fontId="35" fillId="0" borderId="0" xfId="0" applyFont="1" applyFill="1" applyBorder="1" applyAlignment="1">
      <alignment horizontal="center" vertical="top" wrapText="1"/>
    </xf>
    <xf numFmtId="0" fontId="36" fillId="0" borderId="6" xfId="0" applyFont="1" applyFill="1" applyBorder="1" applyAlignment="1">
      <alignment vertical="center" wrapText="1"/>
    </xf>
    <xf numFmtId="0" fontId="35" fillId="0" borderId="6" xfId="0" applyFont="1" applyFill="1" applyBorder="1" applyAlignment="1">
      <alignment wrapText="1"/>
    </xf>
    <xf numFmtId="0" fontId="35" fillId="0" borderId="0" xfId="0" applyFont="1" applyFill="1" applyBorder="1" applyAlignment="1">
      <alignment wrapText="1"/>
    </xf>
    <xf numFmtId="0" fontId="35" fillId="0" borderId="10" xfId="0" applyFont="1" applyFill="1" applyBorder="1" applyAlignment="1">
      <alignment wrapText="1"/>
    </xf>
    <xf numFmtId="0" fontId="35" fillId="0" borderId="19" xfId="0" applyFont="1" applyFill="1" applyBorder="1" applyAlignment="1">
      <alignment wrapText="1"/>
    </xf>
    <xf numFmtId="0" fontId="35" fillId="0" borderId="0" xfId="0" applyFont="1" applyFill="1" applyBorder="1" applyAlignment="1">
      <alignment vertical="top"/>
    </xf>
    <xf numFmtId="37" fontId="35" fillId="0" borderId="0" xfId="0" applyNumberFormat="1" applyFont="1" applyFill="1" applyBorder="1" applyAlignment="1">
      <alignment vertical="center" wrapText="1"/>
    </xf>
    <xf numFmtId="0" fontId="36" fillId="0" borderId="7" xfId="0" applyFont="1" applyFill="1" applyBorder="1" applyAlignment="1">
      <alignment vertical="center"/>
    </xf>
    <xf numFmtId="0" fontId="36" fillId="0" borderId="39" xfId="0" applyNumberFormat="1" applyFont="1" applyFill="1" applyBorder="1" applyAlignment="1">
      <alignment vertical="center"/>
    </xf>
    <xf numFmtId="0" fontId="36" fillId="0" borderId="40" xfId="0" applyFont="1" applyFill="1" applyBorder="1" applyAlignment="1">
      <alignment vertical="center" wrapText="1"/>
    </xf>
    <xf numFmtId="37" fontId="35" fillId="0" borderId="7" xfId="0" applyNumberFormat="1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left" vertical="top" wrapText="1"/>
    </xf>
    <xf numFmtId="0" fontId="35" fillId="0" borderId="41" xfId="0" applyFont="1" applyFill="1" applyBorder="1" applyAlignment="1">
      <alignment horizontal="left" vertical="top" wrapText="1"/>
    </xf>
    <xf numFmtId="0" fontId="35" fillId="0" borderId="41" xfId="0" applyFont="1" applyFill="1" applyBorder="1" applyAlignment="1">
      <alignment horizontal="center" vertical="top" wrapText="1"/>
    </xf>
    <xf numFmtId="0" fontId="35" fillId="0" borderId="41" xfId="0" applyFont="1" applyFill="1" applyBorder="1" applyAlignment="1">
      <alignment horizontal="right" vertical="top" wrapText="1"/>
    </xf>
    <xf numFmtId="0" fontId="35" fillId="0" borderId="41" xfId="0" applyFont="1" applyFill="1" applyBorder="1"/>
    <xf numFmtId="0" fontId="35" fillId="0" borderId="40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center"/>
    </xf>
    <xf numFmtId="0" fontId="35" fillId="0" borderId="0" xfId="0" applyFont="1" applyFill="1" applyAlignment="1">
      <alignment horizontal="center" vertical="center"/>
    </xf>
    <xf numFmtId="4" fontId="35" fillId="0" borderId="0" xfId="1" applyNumberFormat="1" applyFont="1" applyFill="1" applyBorder="1" applyAlignment="1"/>
    <xf numFmtId="4" fontId="35" fillId="0" borderId="11" xfId="1" applyNumberFormat="1" applyFont="1" applyFill="1" applyBorder="1" applyAlignment="1">
      <alignment horizontal="center"/>
    </xf>
    <xf numFmtId="4" fontId="35" fillId="0" borderId="0" xfId="1" applyNumberFormat="1" applyFont="1" applyFill="1" applyBorder="1" applyAlignment="1">
      <alignment wrapText="1"/>
    </xf>
    <xf numFmtId="4" fontId="35" fillId="0" borderId="11" xfId="1" applyNumberFormat="1" applyFont="1" applyFill="1" applyBorder="1" applyAlignment="1">
      <alignment wrapText="1"/>
    </xf>
    <xf numFmtId="4" fontId="35" fillId="0" borderId="39" xfId="1" applyNumberFormat="1" applyFont="1" applyFill="1" applyBorder="1" applyAlignment="1">
      <alignment vertical="center" wrapText="1"/>
    </xf>
    <xf numFmtId="4" fontId="35" fillId="0" borderId="16" xfId="1" applyNumberFormat="1" applyFont="1" applyFill="1" applyBorder="1" applyAlignment="1">
      <alignment vertical="center" wrapText="1"/>
    </xf>
    <xf numFmtId="0" fontId="19" fillId="0" borderId="0" xfId="0" applyFont="1" applyBorder="1" applyAlignment="1">
      <alignment horizontal="center" vertical="top" wrapText="1"/>
    </xf>
    <xf numFmtId="0" fontId="20" fillId="9" borderId="0" xfId="0" applyFont="1" applyFill="1" applyBorder="1" applyAlignment="1">
      <alignment vertical="top" wrapText="1"/>
    </xf>
    <xf numFmtId="0" fontId="13" fillId="0" borderId="0" xfId="0" applyFont="1" applyBorder="1"/>
    <xf numFmtId="0" fontId="36" fillId="12" borderId="42" xfId="0" applyFont="1" applyFill="1" applyBorder="1" applyAlignment="1">
      <alignment horizontal="center" vertical="top" wrapText="1"/>
    </xf>
    <xf numFmtId="0" fontId="36" fillId="12" borderId="43" xfId="0" applyFont="1" applyFill="1" applyBorder="1" applyAlignment="1">
      <alignment horizontal="center" vertical="top" wrapText="1"/>
    </xf>
    <xf numFmtId="0" fontId="36" fillId="12" borderId="8" xfId="0" applyFont="1" applyFill="1" applyBorder="1" applyAlignment="1">
      <alignment horizontal="center" vertical="top" wrapText="1"/>
    </xf>
    <xf numFmtId="0" fontId="36" fillId="12" borderId="42" xfId="0" applyFont="1" applyFill="1" applyBorder="1" applyAlignment="1">
      <alignment vertical="top" wrapText="1"/>
    </xf>
    <xf numFmtId="0" fontId="0" fillId="12" borderId="8" xfId="0" applyFill="1" applyBorder="1" applyAlignment="1">
      <alignment vertical="top" wrapText="1"/>
    </xf>
    <xf numFmtId="0" fontId="35" fillId="0" borderId="44" xfId="0" applyFont="1" applyBorder="1" applyAlignment="1">
      <alignment horizontal="center" vertical="top" wrapText="1"/>
    </xf>
    <xf numFmtId="0" fontId="35" fillId="0" borderId="43" xfId="0" applyFont="1" applyBorder="1" applyAlignment="1">
      <alignment horizontal="justify" vertical="top" wrapText="1"/>
    </xf>
    <xf numFmtId="0" fontId="35" fillId="0" borderId="8" xfId="0" applyFont="1" applyBorder="1" applyAlignment="1">
      <alignment horizontal="justify" vertical="top" wrapText="1"/>
    </xf>
    <xf numFmtId="0" fontId="36" fillId="12" borderId="43" xfId="0" applyFont="1" applyFill="1" applyBorder="1" applyAlignment="1">
      <alignment vertical="top" wrapText="1"/>
    </xf>
    <xf numFmtId="4" fontId="0" fillId="0" borderId="0" xfId="0" applyNumberFormat="1"/>
    <xf numFmtId="0" fontId="35" fillId="0" borderId="43" xfId="0" applyFont="1" applyBorder="1" applyAlignment="1">
      <alignment horizontal="right" vertical="top" wrapText="1"/>
    </xf>
    <xf numFmtId="4" fontId="35" fillId="0" borderId="43" xfId="0" applyNumberFormat="1" applyFont="1" applyBorder="1" applyAlignment="1">
      <alignment horizontal="right" vertical="top" wrapText="1"/>
    </xf>
    <xf numFmtId="0" fontId="35" fillId="0" borderId="8" xfId="0" applyFont="1" applyBorder="1" applyAlignment="1">
      <alignment horizontal="right" vertical="top" wrapText="1"/>
    </xf>
    <xf numFmtId="0" fontId="0" fillId="0" borderId="8" xfId="0" applyBorder="1" applyAlignment="1">
      <alignment vertical="top" wrapText="1"/>
    </xf>
    <xf numFmtId="4" fontId="36" fillId="0" borderId="8" xfId="0" applyNumberFormat="1" applyFont="1" applyBorder="1" applyAlignment="1">
      <alignment horizontal="right" vertical="top" wrapText="1"/>
    </xf>
    <xf numFmtId="0" fontId="35" fillId="0" borderId="45" xfId="0" applyFont="1" applyBorder="1" applyAlignment="1">
      <alignment horizontal="center" vertical="top" wrapText="1"/>
    </xf>
    <xf numFmtId="0" fontId="11" fillId="0" borderId="0" xfId="0" applyFont="1"/>
    <xf numFmtId="0" fontId="43" fillId="0" borderId="0" xfId="0" applyFont="1" applyAlignment="1">
      <alignment horizontal="center"/>
    </xf>
    <xf numFmtId="0" fontId="36" fillId="12" borderId="8" xfId="0" applyFont="1" applyFill="1" applyBorder="1" applyAlignment="1">
      <alignment vertical="top" wrapText="1"/>
    </xf>
    <xf numFmtId="4" fontId="35" fillId="0" borderId="8" xfId="0" applyNumberFormat="1" applyFont="1" applyBorder="1" applyAlignment="1">
      <alignment horizontal="right" vertical="top" wrapText="1"/>
    </xf>
    <xf numFmtId="0" fontId="43" fillId="12" borderId="43" xfId="0" applyFont="1" applyFill="1" applyBorder="1" applyAlignment="1">
      <alignment vertical="top" wrapText="1"/>
    </xf>
    <xf numFmtId="0" fontId="44" fillId="0" borderId="43" xfId="0" applyFont="1" applyBorder="1" applyAlignment="1">
      <alignment horizontal="right" vertical="top" wrapText="1"/>
    </xf>
    <xf numFmtId="0" fontId="35" fillId="0" borderId="42" xfId="0" applyFont="1" applyBorder="1" applyAlignment="1">
      <alignment horizontal="justify" vertical="top" wrapText="1"/>
    </xf>
    <xf numFmtId="0" fontId="43" fillId="12" borderId="42" xfId="0" applyFont="1" applyFill="1" applyBorder="1" applyAlignment="1">
      <alignment vertical="top" wrapText="1"/>
    </xf>
    <xf numFmtId="4" fontId="44" fillId="0" borderId="8" xfId="0" applyNumberFormat="1" applyFont="1" applyBorder="1" applyAlignment="1">
      <alignment horizontal="right" vertical="top" wrapText="1"/>
    </xf>
    <xf numFmtId="0" fontId="35" fillId="12" borderId="43" xfId="0" applyFont="1" applyFill="1" applyBorder="1" applyAlignment="1">
      <alignment vertical="top" wrapText="1"/>
    </xf>
    <xf numFmtId="0" fontId="35" fillId="12" borderId="42" xfId="0" applyFont="1" applyFill="1" applyBorder="1" applyAlignment="1">
      <alignment horizontal="center" vertical="top" wrapText="1"/>
    </xf>
    <xf numFmtId="0" fontId="35" fillId="12" borderId="43" xfId="0" applyFont="1" applyFill="1" applyBorder="1" applyAlignment="1">
      <alignment horizontal="center" vertical="top" wrapText="1"/>
    </xf>
    <xf numFmtId="0" fontId="35" fillId="12" borderId="8" xfId="0" applyFont="1" applyFill="1" applyBorder="1" applyAlignment="1">
      <alignment horizontal="center" vertical="top" wrapText="1"/>
    </xf>
    <xf numFmtId="0" fontId="36" fillId="0" borderId="0" xfId="0" applyFont="1" applyAlignment="1">
      <alignment horizontal="left"/>
    </xf>
    <xf numFmtId="0" fontId="35" fillId="0" borderId="43" xfId="0" applyFont="1" applyBorder="1" applyAlignment="1">
      <alignment vertical="top" wrapText="1"/>
    </xf>
    <xf numFmtId="0" fontId="35" fillId="0" borderId="8" xfId="0" applyFont="1" applyBorder="1" applyAlignment="1">
      <alignment vertical="top" wrapText="1"/>
    </xf>
    <xf numFmtId="0" fontId="35" fillId="0" borderId="0" xfId="0" applyNumberFormat="1" applyFont="1"/>
    <xf numFmtId="0" fontId="36" fillId="13" borderId="7" xfId="0" applyFont="1" applyFill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36" fillId="14" borderId="7" xfId="0" applyFont="1" applyFill="1" applyBorder="1" applyProtection="1">
      <protection locked="0"/>
    </xf>
    <xf numFmtId="10" fontId="35" fillId="13" borderId="7" xfId="0" applyNumberFormat="1" applyFont="1" applyFill="1" applyBorder="1" applyAlignment="1" applyProtection="1">
      <alignment horizontal="right"/>
      <protection locked="0"/>
    </xf>
    <xf numFmtId="10" fontId="35" fillId="13" borderId="7" xfId="0" applyNumberFormat="1" applyFont="1" applyFill="1" applyBorder="1" applyAlignment="1" applyProtection="1">
      <alignment horizontal="center"/>
    </xf>
    <xf numFmtId="10" fontId="35" fillId="11" borderId="7" xfId="0" applyNumberFormat="1" applyFont="1" applyFill="1" applyBorder="1" applyAlignment="1" applyProtection="1">
      <alignment horizontal="center"/>
    </xf>
    <xf numFmtId="0" fontId="44" fillId="0" borderId="0" xfId="0" applyFont="1"/>
    <xf numFmtId="0" fontId="36" fillId="14" borderId="7" xfId="0" applyFont="1" applyFill="1" applyBorder="1"/>
    <xf numFmtId="10" fontId="35" fillId="13" borderId="7" xfId="0" applyNumberFormat="1" applyFont="1" applyFill="1" applyBorder="1"/>
    <xf numFmtId="0" fontId="36" fillId="15" borderId="7" xfId="0" applyFont="1" applyFill="1" applyBorder="1"/>
    <xf numFmtId="10" fontId="35" fillId="11" borderId="7" xfId="0" applyNumberFormat="1" applyFont="1" applyFill="1" applyBorder="1" applyAlignment="1" applyProtection="1">
      <alignment horizontal="center"/>
      <protection locked="0"/>
    </xf>
    <xf numFmtId="0" fontId="36" fillId="13" borderId="7" xfId="0" applyFont="1" applyFill="1" applyBorder="1"/>
    <xf numFmtId="39" fontId="35" fillId="13" borderId="7" xfId="0" applyNumberFormat="1" applyFont="1" applyFill="1" applyBorder="1"/>
    <xf numFmtId="39" fontId="35" fillId="13" borderId="7" xfId="0" applyNumberFormat="1" applyFont="1" applyFill="1" applyBorder="1" applyAlignment="1" applyProtection="1">
      <alignment horizontal="center"/>
    </xf>
    <xf numFmtId="39" fontId="35" fillId="11" borderId="7" xfId="0" applyNumberFormat="1" applyFont="1" applyFill="1" applyBorder="1" applyAlignment="1" applyProtection="1">
      <alignment horizontal="center"/>
    </xf>
    <xf numFmtId="0" fontId="45" fillId="0" borderId="0" xfId="0" applyFont="1"/>
    <xf numFmtId="0" fontId="46" fillId="0" borderId="0" xfId="0" applyFont="1"/>
    <xf numFmtId="0" fontId="44" fillId="0" borderId="0" xfId="0" applyFont="1" applyBorder="1"/>
    <xf numFmtId="0" fontId="48" fillId="10" borderId="39" xfId="0" applyFont="1" applyFill="1" applyBorder="1" applyAlignment="1" applyProtection="1">
      <alignment horizontal="center" vertical="center"/>
    </xf>
    <xf numFmtId="0" fontId="48" fillId="10" borderId="7" xfId="0" applyFont="1" applyFill="1" applyBorder="1" applyAlignment="1" applyProtection="1">
      <alignment horizontal="center" vertical="center"/>
    </xf>
    <xf numFmtId="49" fontId="48" fillId="10" borderId="39" xfId="0" applyNumberFormat="1" applyFont="1" applyFill="1" applyBorder="1" applyAlignment="1" applyProtection="1">
      <alignment vertical="center"/>
    </xf>
    <xf numFmtId="43" fontId="48" fillId="10" borderId="7" xfId="0" applyNumberFormat="1" applyFont="1" applyFill="1" applyBorder="1" applyAlignment="1" applyProtection="1">
      <alignment vertical="center"/>
    </xf>
    <xf numFmtId="49" fontId="48" fillId="10" borderId="39" xfId="0" applyNumberFormat="1" applyFont="1" applyFill="1" applyBorder="1" applyAlignment="1" applyProtection="1">
      <alignment horizontal="left" vertical="center"/>
    </xf>
    <xf numFmtId="43" fontId="48" fillId="10" borderId="7" xfId="0" applyNumberFormat="1" applyFont="1" applyFill="1" applyBorder="1" applyAlignment="1" applyProtection="1">
      <alignment horizontal="left" vertical="center"/>
    </xf>
    <xf numFmtId="49" fontId="49" fillId="10" borderId="0" xfId="0" applyNumberFormat="1" applyFont="1" applyFill="1" applyBorder="1" applyAlignment="1" applyProtection="1">
      <alignment horizontal="left" vertical="center"/>
    </xf>
    <xf numFmtId="43" fontId="49" fillId="10" borderId="7" xfId="0" applyNumberFormat="1" applyFont="1" applyFill="1" applyBorder="1" applyAlignment="1" applyProtection="1">
      <alignment horizontal="left" vertical="center"/>
    </xf>
    <xf numFmtId="0" fontId="49" fillId="10" borderId="0" xfId="0" applyFont="1" applyFill="1" applyAlignment="1" applyProtection="1">
      <alignment horizontal="left" vertical="center" indent="1"/>
    </xf>
    <xf numFmtId="43" fontId="49" fillId="10" borderId="7" xfId="0" applyNumberFormat="1" applyFont="1" applyFill="1" applyBorder="1" applyAlignment="1" applyProtection="1">
      <alignment horizontal="left" vertical="center" indent="1"/>
    </xf>
    <xf numFmtId="49" fontId="49" fillId="10" borderId="0" xfId="0" applyNumberFormat="1" applyFont="1" applyFill="1" applyBorder="1" applyAlignment="1" applyProtection="1">
      <alignment horizontal="left" vertical="center" indent="1"/>
    </xf>
    <xf numFmtId="0" fontId="36" fillId="5" borderId="19" xfId="0" applyFont="1" applyFill="1" applyBorder="1" applyAlignment="1">
      <alignment horizontal="center" wrapText="1"/>
    </xf>
    <xf numFmtId="0" fontId="50" fillId="5" borderId="0" xfId="0" applyFont="1" applyFill="1" applyBorder="1" applyAlignment="1">
      <alignment horizontal="center" wrapText="1"/>
    </xf>
    <xf numFmtId="1" fontId="48" fillId="4" borderId="10" xfId="4" applyNumberFormat="1" applyFont="1" applyFill="1" applyBorder="1" applyAlignment="1" applyProtection="1">
      <alignment horizontal="center" vertical="center" wrapText="1"/>
    </xf>
    <xf numFmtId="0" fontId="49" fillId="4" borderId="0" xfId="4" applyNumberFormat="1" applyFont="1" applyFill="1" applyBorder="1" applyAlignment="1" applyProtection="1">
      <alignment horizontal="left" vertical="center"/>
    </xf>
    <xf numFmtId="43" fontId="49" fillId="4" borderId="28" xfId="4" applyNumberFormat="1" applyFont="1" applyFill="1" applyBorder="1" applyAlignment="1" applyProtection="1">
      <alignment horizontal="left" vertical="center" indent="2"/>
    </xf>
    <xf numFmtId="0" fontId="49" fillId="4" borderId="0" xfId="4" applyNumberFormat="1" applyFont="1" applyFill="1" applyAlignment="1" applyProtection="1">
      <alignment horizontal="left" vertical="center"/>
    </xf>
    <xf numFmtId="49" fontId="35" fillId="4" borderId="0" xfId="0" applyNumberFormat="1" applyFont="1" applyFill="1" applyAlignment="1" applyProtection="1">
      <alignment vertical="center"/>
    </xf>
    <xf numFmtId="170" fontId="35" fillId="4" borderId="0" xfId="4" applyNumberFormat="1" applyFont="1" applyFill="1" applyAlignment="1" applyProtection="1">
      <alignment vertical="center"/>
    </xf>
    <xf numFmtId="0" fontId="49" fillId="4" borderId="20" xfId="4" applyNumberFormat="1" applyFont="1" applyFill="1" applyBorder="1" applyAlignment="1" applyProtection="1">
      <alignment horizontal="left" vertical="center"/>
    </xf>
    <xf numFmtId="43" fontId="49" fillId="4" borderId="46" xfId="4" applyNumberFormat="1" applyFont="1" applyFill="1" applyBorder="1" applyAlignment="1" applyProtection="1">
      <alignment horizontal="left" vertical="center" indent="2"/>
    </xf>
    <xf numFmtId="0" fontId="49" fillId="4" borderId="12" xfId="4" applyNumberFormat="1" applyFont="1" applyFill="1" applyBorder="1" applyAlignment="1" applyProtection="1">
      <alignment horizontal="left" vertical="center"/>
    </xf>
    <xf numFmtId="0" fontId="49" fillId="4" borderId="17" xfId="4" applyNumberFormat="1" applyFont="1" applyFill="1" applyBorder="1" applyAlignment="1" applyProtection="1">
      <alignment horizontal="left" vertical="center"/>
    </xf>
    <xf numFmtId="43" fontId="49" fillId="4" borderId="47" xfId="4" applyNumberFormat="1" applyFont="1" applyFill="1" applyBorder="1" applyAlignment="1" applyProtection="1">
      <alignment horizontal="left" vertical="center" indent="2"/>
    </xf>
    <xf numFmtId="0" fontId="51" fillId="0" borderId="0" xfId="0" applyFont="1"/>
    <xf numFmtId="3" fontId="46" fillId="0" borderId="0" xfId="0" applyNumberFormat="1" applyFont="1"/>
    <xf numFmtId="0" fontId="50" fillId="0" borderId="0" xfId="0" applyFont="1"/>
    <xf numFmtId="43" fontId="46" fillId="0" borderId="0" xfId="0" applyNumberFormat="1" applyFont="1" applyBorder="1"/>
    <xf numFmtId="43" fontId="46" fillId="2" borderId="0" xfId="0" applyNumberFormat="1" applyFont="1" applyFill="1" applyBorder="1" applyProtection="1">
      <protection locked="0"/>
    </xf>
    <xf numFmtId="3" fontId="36" fillId="4" borderId="7" xfId="0" applyNumberFormat="1" applyFont="1" applyFill="1" applyBorder="1" applyAlignment="1">
      <alignment horizontal="center"/>
    </xf>
    <xf numFmtId="0" fontId="36" fillId="4" borderId="7" xfId="0" applyFont="1" applyFill="1" applyBorder="1" applyAlignment="1">
      <alignment horizontal="center"/>
    </xf>
    <xf numFmtId="0" fontId="36" fillId="2" borderId="7" xfId="0" applyNumberFormat="1" applyFont="1" applyFill="1" applyBorder="1"/>
    <xf numFmtId="43" fontId="35" fillId="16" borderId="7" xfId="0" applyNumberFormat="1" applyFont="1" applyFill="1" applyBorder="1" applyProtection="1">
      <protection locked="0"/>
    </xf>
    <xf numFmtId="0" fontId="35" fillId="2" borderId="7" xfId="0" applyNumberFormat="1" applyFont="1" applyFill="1" applyBorder="1"/>
    <xf numFmtId="43" fontId="35" fillId="16" borderId="7" xfId="0" applyNumberFormat="1" applyFont="1" applyFill="1" applyBorder="1"/>
    <xf numFmtId="43" fontId="36" fillId="16" borderId="7" xfId="0" applyNumberFormat="1" applyFont="1" applyFill="1" applyBorder="1"/>
    <xf numFmtId="0" fontId="36" fillId="0" borderId="7" xfId="0" applyNumberFormat="1" applyFont="1" applyBorder="1"/>
    <xf numFmtId="0" fontId="35" fillId="0" borderId="7" xfId="0" applyNumberFormat="1" applyFont="1" applyBorder="1"/>
    <xf numFmtId="0" fontId="48" fillId="0" borderId="7" xfId="0" applyNumberFormat="1" applyFont="1" applyBorder="1"/>
    <xf numFmtId="43" fontId="48" fillId="16" borderId="7" xfId="0" applyNumberFormat="1" applyFont="1" applyFill="1" applyBorder="1"/>
    <xf numFmtId="0" fontId="52" fillId="0" borderId="0" xfId="0" applyFont="1"/>
    <xf numFmtId="3" fontId="35" fillId="0" borderId="0" xfId="0" applyNumberFormat="1" applyFont="1"/>
    <xf numFmtId="0" fontId="53" fillId="0" borderId="0" xfId="0" applyFont="1"/>
    <xf numFmtId="43" fontId="36" fillId="16" borderId="7" xfId="0" applyNumberFormat="1" applyFont="1" applyFill="1" applyBorder="1" applyProtection="1">
      <protection locked="0"/>
    </xf>
    <xf numFmtId="43" fontId="36" fillId="3" borderId="7" xfId="0" applyNumberFormat="1" applyFont="1" applyFill="1" applyBorder="1"/>
    <xf numFmtId="0" fontId="35" fillId="2" borderId="48" xfId="0" applyFont="1" applyFill="1" applyBorder="1" applyAlignment="1">
      <alignment horizontal="justify" vertical="center" wrapText="1"/>
    </xf>
    <xf numFmtId="43" fontId="35" fillId="0" borderId="7" xfId="0" applyNumberFormat="1" applyFont="1" applyBorder="1"/>
    <xf numFmtId="0" fontId="35" fillId="2" borderId="49" xfId="0" applyFont="1" applyFill="1" applyBorder="1" applyAlignment="1">
      <alignment horizontal="justify" vertical="center" wrapText="1"/>
    </xf>
    <xf numFmtId="0" fontId="35" fillId="2" borderId="50" xfId="0" applyFont="1" applyFill="1" applyBorder="1" applyAlignment="1">
      <alignment horizontal="justify" vertical="center" wrapText="1"/>
    </xf>
    <xf numFmtId="0" fontId="36" fillId="6" borderId="7" xfId="0" applyFont="1" applyFill="1" applyBorder="1"/>
    <xf numFmtId="3" fontId="36" fillId="6" borderId="7" xfId="0" applyNumberFormat="1" applyFont="1" applyFill="1" applyBorder="1"/>
    <xf numFmtId="0" fontId="35" fillId="2" borderId="51" xfId="0" applyFont="1" applyFill="1" applyBorder="1" applyAlignment="1">
      <alignment horizontal="justify" vertical="center" wrapText="1"/>
    </xf>
    <xf numFmtId="0" fontId="35" fillId="2" borderId="45" xfId="0" applyFont="1" applyFill="1" applyBorder="1" applyAlignment="1">
      <alignment horizontal="justify" vertical="center" wrapText="1"/>
    </xf>
    <xf numFmtId="0" fontId="35" fillId="0" borderId="52" xfId="0" applyFont="1" applyFill="1" applyBorder="1" applyAlignment="1">
      <alignment wrapText="1"/>
    </xf>
    <xf numFmtId="0" fontId="35" fillId="0" borderId="19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wrapText="1"/>
    </xf>
    <xf numFmtId="0" fontId="35" fillId="0" borderId="17" xfId="0" quotePrefix="1" applyFont="1" applyFill="1" applyBorder="1" applyAlignment="1">
      <alignment horizontal="center" wrapText="1"/>
    </xf>
    <xf numFmtId="0" fontId="35" fillId="0" borderId="10" xfId="0" applyFont="1" applyFill="1" applyBorder="1" applyAlignment="1">
      <alignment horizontal="center" wrapText="1"/>
    </xf>
    <xf numFmtId="10" fontId="35" fillId="16" borderId="7" xfId="0" applyNumberFormat="1" applyFont="1" applyFill="1" applyBorder="1" applyAlignment="1">
      <alignment wrapText="1"/>
    </xf>
    <xf numFmtId="43" fontId="35" fillId="0" borderId="7" xfId="0" applyNumberFormat="1" applyFont="1" applyFill="1" applyBorder="1" applyAlignment="1">
      <alignment horizontal="right" wrapText="1"/>
    </xf>
    <xf numFmtId="43" fontId="35" fillId="16" borderId="7" xfId="0" applyNumberFormat="1" applyFont="1" applyFill="1" applyBorder="1" applyAlignment="1">
      <alignment vertical="top" wrapText="1"/>
    </xf>
    <xf numFmtId="10" fontId="35" fillId="16" borderId="7" xfId="0" applyNumberFormat="1" applyFont="1" applyFill="1" applyBorder="1" applyAlignment="1">
      <alignment horizontal="right" vertical="top" wrapText="1"/>
    </xf>
    <xf numFmtId="43" fontId="35" fillId="16" borderId="7" xfId="0" applyNumberFormat="1" applyFont="1" applyFill="1" applyBorder="1" applyAlignment="1">
      <alignment horizontal="right" wrapText="1"/>
    </xf>
    <xf numFmtId="43" fontId="35" fillId="0" borderId="7" xfId="0" applyNumberFormat="1" applyFont="1" applyFill="1" applyBorder="1" applyAlignment="1" applyProtection="1">
      <alignment wrapText="1"/>
      <protection locked="0"/>
    </xf>
    <xf numFmtId="0" fontId="35" fillId="0" borderId="9" xfId="0" applyFont="1" applyFill="1" applyBorder="1" applyAlignment="1">
      <alignment horizontal="left"/>
    </xf>
    <xf numFmtId="164" fontId="35" fillId="0" borderId="9" xfId="0" applyNumberFormat="1" applyFont="1" applyFill="1" applyBorder="1" applyAlignment="1">
      <alignment horizontal="left"/>
    </xf>
    <xf numFmtId="0" fontId="35" fillId="0" borderId="11" xfId="0" applyFont="1" applyFill="1" applyBorder="1"/>
    <xf numFmtId="43" fontId="35" fillId="0" borderId="11" xfId="0" applyNumberFormat="1" applyFont="1" applyFill="1" applyBorder="1" applyAlignment="1">
      <alignment horizontal="right" wrapText="1"/>
    </xf>
    <xf numFmtId="43" fontId="35" fillId="16" borderId="11" xfId="0" applyNumberFormat="1" applyFont="1" applyFill="1" applyBorder="1" applyAlignment="1">
      <alignment horizontal="right" wrapText="1"/>
    </xf>
    <xf numFmtId="10" fontId="35" fillId="16" borderId="11" xfId="0" applyNumberFormat="1" applyFont="1" applyFill="1" applyBorder="1" applyAlignment="1">
      <alignment horizontal="right" vertical="top"/>
    </xf>
    <xf numFmtId="43" fontId="35" fillId="16" borderId="11" xfId="0" applyNumberFormat="1" applyFont="1" applyFill="1" applyBorder="1" applyAlignment="1">
      <alignment horizontal="right" vertical="top"/>
    </xf>
    <xf numFmtId="10" fontId="35" fillId="16" borderId="11" xfId="0" applyNumberFormat="1" applyFont="1" applyFill="1" applyBorder="1" applyAlignment="1">
      <alignment horizontal="right" vertical="top" wrapText="1"/>
    </xf>
    <xf numFmtId="43" fontId="35" fillId="0" borderId="11" xfId="0" applyNumberFormat="1" applyFont="1" applyFill="1" applyBorder="1" applyAlignment="1" applyProtection="1">
      <alignment horizontal="right"/>
      <protection locked="0"/>
    </xf>
    <xf numFmtId="43" fontId="35" fillId="16" borderId="11" xfId="0" applyNumberFormat="1" applyFont="1" applyFill="1" applyBorder="1" applyAlignment="1" applyProtection="1">
      <alignment horizontal="right"/>
      <protection locked="0"/>
    </xf>
    <xf numFmtId="0" fontId="35" fillId="0" borderId="10" xfId="0" applyFont="1" applyFill="1" applyBorder="1"/>
    <xf numFmtId="43" fontId="35" fillId="16" borderId="10" xfId="0" applyNumberFormat="1" applyFont="1" applyFill="1" applyBorder="1" applyAlignment="1" applyProtection="1">
      <alignment horizontal="right"/>
      <protection locked="0"/>
    </xf>
    <xf numFmtId="43" fontId="35" fillId="16" borderId="11" xfId="0" applyNumberFormat="1" applyFont="1" applyFill="1" applyBorder="1" applyAlignment="1">
      <alignment horizontal="right"/>
    </xf>
    <xf numFmtId="43" fontId="35" fillId="16" borderId="10" xfId="0" applyNumberFormat="1" applyFont="1" applyFill="1" applyBorder="1" applyAlignment="1">
      <alignment horizontal="right"/>
    </xf>
    <xf numFmtId="0" fontId="54" fillId="0" borderId="9" xfId="0" applyFont="1" applyFill="1" applyBorder="1" applyAlignment="1">
      <alignment wrapText="1"/>
    </xf>
    <xf numFmtId="164" fontId="54" fillId="0" borderId="9" xfId="0" applyNumberFormat="1" applyFont="1" applyFill="1" applyBorder="1" applyAlignment="1">
      <alignment horizontal="right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wrapText="1"/>
    </xf>
    <xf numFmtId="165" fontId="54" fillId="16" borderId="11" xfId="0" applyNumberFormat="1" applyFont="1" applyFill="1" applyBorder="1" applyAlignment="1">
      <alignment wrapText="1"/>
    </xf>
    <xf numFmtId="10" fontId="54" fillId="16" borderId="11" xfId="0" applyNumberFormat="1" applyFont="1" applyFill="1" applyBorder="1" applyAlignment="1">
      <alignment wrapText="1"/>
    </xf>
    <xf numFmtId="165" fontId="54" fillId="11" borderId="11" xfId="0" applyNumberFormat="1" applyFont="1" applyFill="1" applyBorder="1" applyAlignment="1" applyProtection="1">
      <alignment wrapText="1"/>
      <protection locked="0"/>
    </xf>
    <xf numFmtId="165" fontId="54" fillId="0" borderId="11" xfId="0" applyNumberFormat="1" applyFont="1" applyFill="1" applyBorder="1" applyAlignment="1" applyProtection="1">
      <alignment wrapText="1"/>
      <protection locked="0"/>
    </xf>
    <xf numFmtId="0" fontId="54" fillId="0" borderId="10" xfId="0" applyFont="1" applyFill="1" applyBorder="1" applyAlignment="1">
      <alignment wrapText="1"/>
    </xf>
    <xf numFmtId="165" fontId="54" fillId="0" borderId="10" xfId="0" applyNumberFormat="1" applyFont="1" applyFill="1" applyBorder="1" applyAlignment="1" applyProtection="1">
      <alignment wrapText="1"/>
      <protection locked="0"/>
    </xf>
    <xf numFmtId="10" fontId="54" fillId="16" borderId="10" xfId="0" applyNumberFormat="1" applyFont="1" applyFill="1" applyBorder="1" applyAlignment="1">
      <alignment wrapText="1"/>
    </xf>
    <xf numFmtId="0" fontId="55" fillId="0" borderId="10" xfId="0" applyFont="1" applyFill="1" applyBorder="1" applyAlignment="1">
      <alignment wrapText="1"/>
    </xf>
    <xf numFmtId="165" fontId="54" fillId="16" borderId="10" xfId="0" applyNumberFormat="1" applyFont="1" applyFill="1" applyBorder="1" applyAlignment="1">
      <alignment wrapText="1"/>
    </xf>
    <xf numFmtId="165" fontId="54" fillId="16" borderId="11" xfId="0" applyNumberFormat="1" applyFont="1" applyFill="1" applyBorder="1" applyAlignment="1" applyProtection="1">
      <alignment wrapText="1"/>
      <protection locked="0"/>
    </xf>
    <xf numFmtId="165" fontId="54" fillId="16" borderId="10" xfId="0" applyNumberFormat="1" applyFont="1" applyFill="1" applyBorder="1" applyAlignment="1" applyProtection="1">
      <alignment wrapText="1"/>
      <protection locked="0"/>
    </xf>
    <xf numFmtId="0" fontId="54" fillId="0" borderId="7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vertical="top" wrapText="1"/>
    </xf>
    <xf numFmtId="0" fontId="54" fillId="0" borderId="9" xfId="0" applyFont="1" applyFill="1" applyBorder="1" applyAlignment="1">
      <alignment vertical="top" wrapText="1"/>
    </xf>
    <xf numFmtId="164" fontId="54" fillId="0" borderId="9" xfId="0" applyNumberFormat="1" applyFont="1" applyFill="1" applyBorder="1" applyAlignment="1">
      <alignment horizontal="right" vertical="top" wrapText="1"/>
    </xf>
    <xf numFmtId="0" fontId="54" fillId="0" borderId="11" xfId="0" applyFont="1" applyFill="1" applyBorder="1" applyAlignment="1">
      <alignment horizontal="left" vertical="center" wrapText="1"/>
    </xf>
    <xf numFmtId="165" fontId="54" fillId="16" borderId="11" xfId="0" applyNumberFormat="1" applyFont="1" applyFill="1" applyBorder="1" applyAlignment="1">
      <alignment horizontal="center" vertical="center" wrapText="1"/>
    </xf>
    <xf numFmtId="165" fontId="54" fillId="0" borderId="7" xfId="0" applyNumberFormat="1" applyFont="1" applyFill="1" applyBorder="1" applyAlignment="1">
      <alignment horizontal="right" vertical="center" wrapText="1"/>
    </xf>
    <xf numFmtId="0" fontId="55" fillId="0" borderId="11" xfId="0" applyFont="1" applyFill="1" applyBorder="1" applyAlignment="1">
      <alignment vertical="top" wrapText="1"/>
    </xf>
    <xf numFmtId="165" fontId="55" fillId="16" borderId="7" xfId="0" applyNumberFormat="1" applyFont="1" applyFill="1" applyBorder="1" applyAlignment="1">
      <alignment vertical="top" wrapText="1"/>
    </xf>
    <xf numFmtId="0" fontId="54" fillId="0" borderId="11" xfId="0" applyFont="1" applyFill="1" applyBorder="1" applyAlignment="1">
      <alignment vertical="top" wrapText="1"/>
    </xf>
    <xf numFmtId="165" fontId="54" fillId="16" borderId="7" xfId="0" applyNumberFormat="1" applyFont="1" applyFill="1" applyBorder="1" applyAlignment="1" applyProtection="1">
      <alignment vertical="top" wrapText="1"/>
      <protection locked="0"/>
    </xf>
    <xf numFmtId="0" fontId="54" fillId="0" borderId="10" xfId="0" applyFont="1" applyFill="1" applyBorder="1" applyAlignment="1">
      <alignment vertical="top" wrapText="1"/>
    </xf>
    <xf numFmtId="165" fontId="54" fillId="0" borderId="7" xfId="0" applyNumberFormat="1" applyFont="1" applyFill="1" applyBorder="1" applyAlignment="1" applyProtection="1">
      <alignment vertical="top" wrapText="1"/>
      <protection locked="0"/>
    </xf>
    <xf numFmtId="43" fontId="54" fillId="16" borderId="20" xfId="0" applyNumberFormat="1" applyFont="1" applyFill="1" applyBorder="1" applyAlignment="1" applyProtection="1">
      <alignment vertical="top" wrapText="1"/>
      <protection locked="0"/>
    </xf>
    <xf numFmtId="165" fontId="54" fillId="16" borderId="11" xfId="0" applyNumberFormat="1" applyFont="1" applyFill="1" applyBorder="1" applyAlignment="1">
      <alignment vertical="top" wrapText="1"/>
    </xf>
    <xf numFmtId="165" fontId="54" fillId="16" borderId="12" xfId="0" applyNumberFormat="1" applyFont="1" applyFill="1" applyBorder="1" applyAlignment="1">
      <alignment vertical="top" wrapText="1"/>
    </xf>
    <xf numFmtId="165" fontId="54" fillId="0" borderId="11" xfId="0" applyNumberFormat="1" applyFont="1" applyFill="1" applyBorder="1" applyAlignment="1" applyProtection="1">
      <alignment vertical="top" wrapText="1"/>
      <protection locked="0"/>
    </xf>
    <xf numFmtId="165" fontId="54" fillId="0" borderId="12" xfId="0" applyNumberFormat="1" applyFont="1" applyFill="1" applyBorder="1" applyAlignment="1" applyProtection="1">
      <alignment vertical="top" wrapText="1"/>
      <protection locked="0"/>
    </xf>
    <xf numFmtId="165" fontId="54" fillId="0" borderId="10" xfId="0" applyNumberFormat="1" applyFont="1" applyFill="1" applyBorder="1" applyAlignment="1" applyProtection="1">
      <alignment vertical="top" wrapText="1"/>
      <protection locked="0"/>
    </xf>
    <xf numFmtId="165" fontId="54" fillId="0" borderId="17" xfId="0" applyNumberFormat="1" applyFont="1" applyFill="1" applyBorder="1" applyAlignment="1" applyProtection="1">
      <alignment vertical="top" wrapText="1"/>
      <protection locked="0"/>
    </xf>
    <xf numFmtId="0" fontId="54" fillId="0" borderId="40" xfId="0" applyFont="1" applyFill="1" applyBorder="1" applyAlignment="1">
      <alignment horizontal="left" vertical="top" wrapText="1"/>
    </xf>
    <xf numFmtId="165" fontId="54" fillId="16" borderId="10" xfId="0" applyNumberFormat="1" applyFont="1" applyFill="1" applyBorder="1" applyAlignment="1" applyProtection="1">
      <alignment vertical="top" wrapText="1"/>
      <protection locked="0"/>
    </xf>
    <xf numFmtId="165" fontId="54" fillId="16" borderId="17" xfId="0" applyNumberFormat="1" applyFont="1" applyFill="1" applyBorder="1" applyAlignment="1" applyProtection="1">
      <alignment vertical="top" wrapText="1"/>
      <protection locked="0"/>
    </xf>
    <xf numFmtId="0" fontId="55" fillId="0" borderId="0" xfId="0" applyFont="1" applyFill="1" applyBorder="1" applyAlignment="1">
      <alignment horizontal="left" vertical="top" wrapText="1"/>
    </xf>
    <xf numFmtId="165" fontId="54" fillId="16" borderId="7" xfId="0" applyNumberFormat="1" applyFont="1" applyFill="1" applyBorder="1" applyAlignment="1">
      <alignment vertical="top" wrapText="1"/>
    </xf>
    <xf numFmtId="4" fontId="35" fillId="17" borderId="39" xfId="0" applyNumberFormat="1" applyFont="1" applyFill="1" applyBorder="1" applyAlignment="1">
      <alignment wrapText="1"/>
    </xf>
    <xf numFmtId="4" fontId="35" fillId="17" borderId="16" xfId="0" applyNumberFormat="1" applyFont="1" applyFill="1" applyBorder="1" applyAlignment="1">
      <alignment wrapText="1"/>
    </xf>
    <xf numFmtId="0" fontId="36" fillId="0" borderId="0" xfId="0" applyFont="1" applyFill="1"/>
    <xf numFmtId="0" fontId="56" fillId="0" borderId="0" xfId="0" applyFont="1" applyFill="1" applyBorder="1" applyAlignment="1">
      <alignment horizontal="left" vertical="top"/>
    </xf>
    <xf numFmtId="0" fontId="56" fillId="0" borderId="0" xfId="0" applyFont="1" applyFill="1" applyBorder="1" applyAlignment="1">
      <alignment horizontal="left" vertical="top" wrapText="1"/>
    </xf>
    <xf numFmtId="0" fontId="56" fillId="0" borderId="19" xfId="0" applyFont="1" applyFill="1" applyBorder="1" applyAlignment="1">
      <alignment horizontal="right" vertical="top" wrapText="1"/>
    </xf>
    <xf numFmtId="164" fontId="56" fillId="0" borderId="19" xfId="0" applyNumberFormat="1" applyFont="1" applyFill="1" applyBorder="1" applyAlignment="1">
      <alignment horizontal="right" vertical="top" wrapText="1"/>
    </xf>
    <xf numFmtId="0" fontId="57" fillId="0" borderId="20" xfId="0" applyFont="1" applyFill="1" applyBorder="1" applyAlignment="1">
      <alignment horizontal="center" wrapText="1"/>
    </xf>
    <xf numFmtId="0" fontId="57" fillId="0" borderId="46" xfId="0" applyFont="1" applyFill="1" applyBorder="1" applyAlignment="1">
      <alignment horizontal="center"/>
    </xf>
    <xf numFmtId="0" fontId="57" fillId="0" borderId="40" xfId="0" applyFont="1" applyFill="1" applyBorder="1" applyAlignment="1">
      <alignment horizontal="center"/>
    </xf>
    <xf numFmtId="0" fontId="57" fillId="0" borderId="46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left" vertical="top"/>
    </xf>
    <xf numFmtId="0" fontId="57" fillId="0" borderId="12" xfId="0" applyFont="1" applyFill="1" applyBorder="1" applyAlignment="1">
      <alignment horizontal="center" wrapText="1"/>
    </xf>
    <xf numFmtId="0" fontId="57" fillId="0" borderId="28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top" wrapText="1"/>
    </xf>
    <xf numFmtId="0" fontId="57" fillId="0" borderId="28" xfId="0" applyFont="1" applyFill="1" applyBorder="1" applyAlignment="1">
      <alignment horizontal="center"/>
    </xf>
    <xf numFmtId="0" fontId="57" fillId="0" borderId="11" xfId="0" applyFont="1" applyFill="1" applyBorder="1" applyAlignment="1">
      <alignment horizontal="center"/>
    </xf>
    <xf numFmtId="0" fontId="57" fillId="0" borderId="28" xfId="0" applyFont="1" applyFill="1" applyBorder="1" applyAlignment="1">
      <alignment horizontal="center" vertical="top" wrapText="1"/>
    </xf>
    <xf numFmtId="0" fontId="57" fillId="0" borderId="17" xfId="0" applyFont="1" applyFill="1" applyBorder="1" applyAlignment="1">
      <alignment horizontal="center" vertical="top" wrapText="1"/>
    </xf>
    <xf numFmtId="0" fontId="57" fillId="0" borderId="47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47" xfId="0" applyFont="1" applyFill="1" applyBorder="1" applyAlignment="1">
      <alignment horizontal="center" vertical="top" wrapText="1"/>
    </xf>
    <xf numFmtId="0" fontId="56" fillId="0" borderId="7" xfId="0" applyFont="1" applyFill="1" applyBorder="1" applyAlignment="1">
      <alignment horizontal="right" vertical="top" wrapText="1"/>
    </xf>
    <xf numFmtId="43" fontId="56" fillId="0" borderId="7" xfId="0" applyNumberFormat="1" applyFont="1" applyFill="1" applyBorder="1" applyAlignment="1">
      <alignment horizontal="right" vertical="top" wrapText="1"/>
    </xf>
    <xf numFmtId="43" fontId="56" fillId="0" borderId="16" xfId="0" applyNumberFormat="1" applyFont="1" applyFill="1" applyBorder="1" applyAlignment="1">
      <alignment horizontal="right" vertical="top" wrapText="1"/>
    </xf>
    <xf numFmtId="43" fontId="56" fillId="0" borderId="47" xfId="0" applyNumberFormat="1" applyFont="1" applyBorder="1" applyAlignment="1">
      <alignment horizontal="center" vertical="center" wrapText="1"/>
    </xf>
    <xf numFmtId="43" fontId="56" fillId="0" borderId="17" xfId="0" applyNumberFormat="1" applyFont="1" applyFill="1" applyBorder="1" applyAlignment="1">
      <alignment horizontal="right" vertical="top" wrapText="1"/>
    </xf>
    <xf numFmtId="43" fontId="56" fillId="0" borderId="53" xfId="0" applyNumberFormat="1" applyFont="1" applyBorder="1" applyAlignment="1">
      <alignment horizontal="center" vertical="center" wrapText="1"/>
    </xf>
    <xf numFmtId="43" fontId="56" fillId="0" borderId="12" xfId="0" applyNumberFormat="1" applyFont="1" applyFill="1" applyBorder="1" applyAlignment="1">
      <alignment horizontal="right" vertical="top" wrapText="1"/>
    </xf>
    <xf numFmtId="0" fontId="11" fillId="0" borderId="0" xfId="0" applyFont="1" applyFill="1"/>
    <xf numFmtId="0" fontId="56" fillId="0" borderId="53" xfId="0" applyFont="1" applyFill="1" applyBorder="1" applyAlignment="1">
      <alignment horizontal="right" vertical="top" wrapText="1"/>
    </xf>
    <xf numFmtId="43" fontId="56" fillId="0" borderId="19" xfId="0" applyNumberFormat="1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top" wrapText="1"/>
    </xf>
    <xf numFmtId="4" fontId="35" fillId="0" borderId="0" xfId="0" applyNumberFormat="1" applyFont="1" applyFill="1" applyBorder="1" applyAlignment="1">
      <alignment horizontal="right" vertical="top" wrapText="1"/>
    </xf>
    <xf numFmtId="4" fontId="35" fillId="0" borderId="0" xfId="0" applyNumberFormat="1" applyFont="1" applyFill="1" applyBorder="1"/>
    <xf numFmtId="0" fontId="36" fillId="5" borderId="16" xfId="0" applyFont="1" applyFill="1" applyBorder="1" applyAlignment="1">
      <alignment horizontal="center" wrapText="1"/>
    </xf>
    <xf numFmtId="43" fontId="49" fillId="4" borderId="20" xfId="4" applyNumberFormat="1" applyFont="1" applyFill="1" applyBorder="1" applyAlignment="1" applyProtection="1">
      <alignment horizontal="left" vertical="center" indent="2"/>
    </xf>
    <xf numFmtId="43" fontId="49" fillId="4" borderId="12" xfId="4" applyNumberFormat="1" applyFont="1" applyFill="1" applyBorder="1" applyAlignment="1" applyProtection="1">
      <alignment horizontal="left" vertical="center" indent="2"/>
    </xf>
    <xf numFmtId="43" fontId="49" fillId="4" borderId="17" xfId="4" applyNumberFormat="1" applyFont="1" applyFill="1" applyBorder="1" applyAlignment="1" applyProtection="1">
      <alignment horizontal="left" vertical="center" indent="2"/>
    </xf>
    <xf numFmtId="0" fontId="5" fillId="0" borderId="39" xfId="0" applyFont="1" applyFill="1" applyBorder="1"/>
    <xf numFmtId="43" fontId="56" fillId="0" borderId="16" xfId="0" applyNumberFormat="1" applyFont="1" applyBorder="1" applyAlignment="1">
      <alignment vertical="center" wrapText="1"/>
    </xf>
    <xf numFmtId="43" fontId="56" fillId="0" borderId="10" xfId="0" applyNumberFormat="1" applyFont="1" applyBorder="1" applyAlignment="1">
      <alignment vertical="center" wrapText="1"/>
    </xf>
    <xf numFmtId="165" fontId="5" fillId="0" borderId="0" xfId="0" applyNumberFormat="1" applyFont="1"/>
    <xf numFmtId="43" fontId="5" fillId="0" borderId="0" xfId="0" applyNumberFormat="1" applyFont="1"/>
    <xf numFmtId="0" fontId="36" fillId="0" borderId="6" xfId="0" applyFont="1" applyFill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36" fillId="0" borderId="0" xfId="0" applyFont="1" applyAlignment="1">
      <alignment horizontal="center"/>
    </xf>
    <xf numFmtId="0" fontId="51" fillId="4" borderId="7" xfId="0" applyFont="1" applyFill="1" applyBorder="1" applyAlignment="1">
      <alignment horizontal="center" wrapText="1"/>
    </xf>
    <xf numFmtId="0" fontId="46" fillId="4" borderId="7" xfId="0" applyFont="1" applyFill="1" applyBorder="1" applyAlignment="1">
      <alignment horizontal="left" wrapText="1"/>
    </xf>
    <xf numFmtId="165" fontId="46" fillId="0" borderId="7" xfId="0" applyNumberFormat="1" applyFont="1" applyFill="1" applyBorder="1" applyAlignment="1">
      <alignment horizontal="justify" vertical="top" wrapText="1"/>
    </xf>
    <xf numFmtId="0" fontId="46" fillId="0" borderId="7" xfId="0" applyFont="1" applyFill="1" applyBorder="1" applyAlignment="1">
      <alignment horizontal="justify" vertical="top" wrapText="1"/>
    </xf>
    <xf numFmtId="0" fontId="51" fillId="4" borderId="20" xfId="0" applyFont="1" applyFill="1" applyBorder="1" applyAlignment="1">
      <alignment horizontal="left" wrapText="1"/>
    </xf>
    <xf numFmtId="165" fontId="51" fillId="4" borderId="20" xfId="0" applyNumberFormat="1" applyFont="1" applyFill="1" applyBorder="1" applyAlignment="1">
      <alignment horizontal="justify" vertical="top" wrapText="1"/>
    </xf>
    <xf numFmtId="0" fontId="51" fillId="4" borderId="7" xfId="0" applyFont="1" applyFill="1" applyBorder="1" applyAlignment="1">
      <alignment horizontal="left" wrapText="1"/>
    </xf>
    <xf numFmtId="165" fontId="51" fillId="4" borderId="7" xfId="0" applyNumberFormat="1" applyFont="1" applyFill="1" applyBorder="1" applyAlignment="1">
      <alignment horizontal="justify" vertical="top" wrapText="1"/>
    </xf>
    <xf numFmtId="0" fontId="46" fillId="0" borderId="39" xfId="0" applyFont="1" applyFill="1" applyBorder="1" applyAlignment="1">
      <alignment horizontal="center" wrapText="1"/>
    </xf>
    <xf numFmtId="0" fontId="46" fillId="0" borderId="16" xfId="0" applyFont="1" applyFill="1" applyBorder="1" applyAlignment="1">
      <alignment horizontal="center" wrapText="1"/>
    </xf>
    <xf numFmtId="0" fontId="46" fillId="0" borderId="7" xfId="0" applyFont="1" applyFill="1" applyBorder="1" applyAlignment="1">
      <alignment horizontal="center" wrapText="1"/>
    </xf>
    <xf numFmtId="0" fontId="51" fillId="4" borderId="17" xfId="0" applyFont="1" applyFill="1" applyBorder="1" applyAlignment="1">
      <alignment horizontal="center" wrapText="1"/>
    </xf>
    <xf numFmtId="165" fontId="46" fillId="4" borderId="7" xfId="0" applyNumberFormat="1" applyFont="1" applyFill="1" applyBorder="1" applyAlignment="1">
      <alignment horizontal="justify" vertical="top" wrapText="1"/>
    </xf>
    <xf numFmtId="0" fontId="46" fillId="0" borderId="9" xfId="0" applyFont="1" applyFill="1" applyBorder="1" applyAlignment="1">
      <alignment wrapText="1"/>
    </xf>
    <xf numFmtId="164" fontId="46" fillId="0" borderId="9" xfId="0" applyNumberFormat="1" applyFont="1" applyBorder="1" applyAlignment="1">
      <alignment horizontal="right" wrapText="1"/>
    </xf>
    <xf numFmtId="0" fontId="46" fillId="0" borderId="10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11" xfId="0" applyFont="1" applyBorder="1" applyAlignment="1">
      <alignment vertical="top" wrapText="1"/>
    </xf>
    <xf numFmtId="165" fontId="51" fillId="3" borderId="0" xfId="0" applyNumberFormat="1" applyFont="1" applyFill="1" applyAlignment="1" applyProtection="1">
      <alignment vertical="top" wrapText="1"/>
      <protection locked="0"/>
    </xf>
    <xf numFmtId="0" fontId="46" fillId="0" borderId="11" xfId="0" applyFont="1" applyBorder="1" applyAlignment="1">
      <alignment vertical="top" wrapText="1"/>
    </xf>
    <xf numFmtId="165" fontId="46" fillId="0" borderId="0" xfId="0" applyNumberFormat="1" applyFont="1" applyAlignment="1" applyProtection="1">
      <alignment vertical="top" wrapText="1"/>
      <protection locked="0"/>
    </xf>
    <xf numFmtId="0" fontId="46" fillId="0" borderId="10" xfId="0" applyFont="1" applyBorder="1" applyAlignment="1">
      <alignment vertical="top" wrapText="1"/>
    </xf>
    <xf numFmtId="0" fontId="51" fillId="0" borderId="10" xfId="0" applyFont="1" applyBorder="1" applyAlignment="1">
      <alignment vertical="top" wrapText="1"/>
    </xf>
    <xf numFmtId="165" fontId="51" fillId="3" borderId="19" xfId="0" applyNumberFormat="1" applyFont="1" applyFill="1" applyBorder="1" applyAlignment="1" applyProtection="1">
      <alignment vertical="top" wrapText="1"/>
      <protection locked="0"/>
    </xf>
    <xf numFmtId="165" fontId="46" fillId="0" borderId="19" xfId="0" applyNumberFormat="1" applyFont="1" applyBorder="1" applyAlignment="1" applyProtection="1">
      <alignment vertical="top" wrapText="1"/>
      <protection locked="0"/>
    </xf>
    <xf numFmtId="165" fontId="51" fillId="3" borderId="19" xfId="0" applyNumberFormat="1" applyFont="1" applyFill="1" applyBorder="1" applyAlignment="1" applyProtection="1">
      <alignment horizontal="right" vertical="top" wrapText="1"/>
      <protection locked="0"/>
    </xf>
    <xf numFmtId="0" fontId="12" fillId="0" borderId="0" xfId="0" applyFont="1"/>
    <xf numFmtId="49" fontId="11" fillId="0" borderId="0" xfId="0" applyNumberFormat="1" applyFont="1"/>
    <xf numFmtId="0" fontId="51" fillId="0" borderId="9" xfId="0" applyFont="1" applyFill="1" applyBorder="1" applyAlignment="1">
      <alignment wrapText="1"/>
    </xf>
    <xf numFmtId="164" fontId="46" fillId="0" borderId="9" xfId="0" applyNumberFormat="1" applyFont="1" applyFill="1" applyBorder="1" applyAlignment="1">
      <alignment horizontal="right" wrapText="1"/>
    </xf>
    <xf numFmtId="0" fontId="46" fillId="4" borderId="10" xfId="0" applyFont="1" applyFill="1" applyBorder="1" applyAlignment="1">
      <alignment horizontal="center" vertical="center" wrapText="1"/>
    </xf>
    <xf numFmtId="0" fontId="46" fillId="4" borderId="7" xfId="0" applyFont="1" applyFill="1" applyBorder="1" applyAlignment="1">
      <alignment horizontal="center" vertical="center" wrapText="1"/>
    </xf>
    <xf numFmtId="0" fontId="51" fillId="4" borderId="11" xfId="0" applyFont="1" applyFill="1" applyBorder="1" applyAlignment="1">
      <alignment vertical="top" wrapText="1"/>
    </xf>
    <xf numFmtId="165" fontId="51" fillId="4" borderId="12" xfId="0" applyNumberFormat="1" applyFont="1" applyFill="1" applyBorder="1" applyAlignment="1">
      <alignment vertical="top" wrapText="1"/>
    </xf>
    <xf numFmtId="0" fontId="46" fillId="4" borderId="11" xfId="0" applyFont="1" applyFill="1" applyBorder="1" applyAlignment="1">
      <alignment vertical="top" wrapText="1"/>
    </xf>
    <xf numFmtId="165" fontId="46" fillId="4" borderId="12" xfId="0" applyNumberFormat="1" applyFont="1" applyFill="1" applyBorder="1" applyAlignment="1">
      <alignment vertical="top" wrapText="1"/>
    </xf>
    <xf numFmtId="0" fontId="46" fillId="4" borderId="10" xfId="0" applyFont="1" applyFill="1" applyBorder="1" applyAlignment="1">
      <alignment vertical="top" wrapText="1"/>
    </xf>
    <xf numFmtId="0" fontId="51" fillId="4" borderId="10" xfId="0" applyFont="1" applyFill="1" applyBorder="1" applyAlignment="1">
      <alignment vertical="top" wrapText="1"/>
    </xf>
    <xf numFmtId="165" fontId="51" fillId="4" borderId="17" xfId="0" applyNumberFormat="1" applyFont="1" applyFill="1" applyBorder="1" applyAlignment="1">
      <alignment vertical="top" wrapText="1"/>
    </xf>
    <xf numFmtId="165" fontId="46" fillId="0" borderId="17" xfId="0" applyNumberFormat="1" applyFont="1" applyFill="1" applyBorder="1" applyAlignment="1">
      <alignment vertical="top" wrapText="1"/>
    </xf>
    <xf numFmtId="165" fontId="46" fillId="0" borderId="12" xfId="0" applyNumberFormat="1" applyFont="1" applyFill="1" applyBorder="1" applyAlignment="1">
      <alignment vertical="top" wrapText="1"/>
    </xf>
    <xf numFmtId="165" fontId="51" fillId="4" borderId="17" xfId="0" applyNumberFormat="1" applyFont="1" applyFill="1" applyBorder="1" applyAlignment="1">
      <alignment horizontal="right" vertical="top" wrapText="1"/>
    </xf>
    <xf numFmtId="0" fontId="36" fillId="0" borderId="18" xfId="0" applyFont="1" applyFill="1" applyBorder="1" applyAlignment="1">
      <alignment horizontal="left"/>
    </xf>
    <xf numFmtId="0" fontId="35" fillId="0" borderId="13" xfId="0" applyFont="1" applyFill="1" applyBorder="1" applyAlignment="1">
      <alignment horizontal="left" wrapText="1"/>
    </xf>
    <xf numFmtId="0" fontId="35" fillId="0" borderId="14" xfId="0" applyFont="1" applyFill="1" applyBorder="1" applyAlignment="1">
      <alignment horizontal="left" wrapText="1"/>
    </xf>
    <xf numFmtId="164" fontId="35" fillId="0" borderId="15" xfId="0" applyNumberFormat="1" applyFont="1" applyFill="1" applyBorder="1" applyAlignment="1">
      <alignment horizontal="right" wrapText="1"/>
    </xf>
    <xf numFmtId="0" fontId="35" fillId="4" borderId="16" xfId="0" applyFont="1" applyFill="1" applyBorder="1" applyAlignment="1">
      <alignment horizontal="center" vertical="top" wrapText="1"/>
    </xf>
    <xf numFmtId="0" fontId="35" fillId="0" borderId="11" xfId="0" applyFont="1" applyFill="1" applyBorder="1" applyAlignment="1">
      <alignment horizontal="center" wrapText="1"/>
    </xf>
    <xf numFmtId="0" fontId="35" fillId="0" borderId="20" xfId="0" applyFont="1" applyFill="1" applyBorder="1"/>
    <xf numFmtId="165" fontId="35" fillId="0" borderId="11" xfId="0" applyNumberFormat="1" applyFont="1" applyFill="1" applyBorder="1" applyAlignment="1">
      <alignment wrapText="1"/>
    </xf>
    <xf numFmtId="165" fontId="35" fillId="4" borderId="11" xfId="0" applyNumberFormat="1" applyFont="1" applyFill="1" applyBorder="1" applyAlignment="1">
      <alignment wrapText="1"/>
    </xf>
    <xf numFmtId="0" fontId="35" fillId="0" borderId="12" xfId="0" applyFont="1" applyFill="1" applyBorder="1" applyAlignment="1">
      <alignment horizontal="center" wrapText="1"/>
    </xf>
    <xf numFmtId="165" fontId="35" fillId="0" borderId="10" xfId="0" applyNumberFormat="1" applyFont="1" applyFill="1" applyBorder="1" applyAlignment="1">
      <alignment wrapText="1"/>
    </xf>
    <xf numFmtId="165" fontId="35" fillId="4" borderId="10" xfId="0" applyNumberFormat="1" applyFont="1" applyFill="1" applyBorder="1" applyAlignment="1">
      <alignment wrapText="1"/>
    </xf>
    <xf numFmtId="0" fontId="35" fillId="4" borderId="7" xfId="0" applyFont="1" applyFill="1" applyBorder="1" applyAlignment="1">
      <alignment horizontal="center" wrapText="1"/>
    </xf>
    <xf numFmtId="0" fontId="35" fillId="0" borderId="6" xfId="0" applyFont="1" applyFill="1" applyBorder="1" applyAlignment="1">
      <alignment horizontal="left"/>
    </xf>
    <xf numFmtId="10" fontId="35" fillId="0" borderId="0" xfId="0" applyNumberFormat="1" applyFont="1"/>
    <xf numFmtId="0" fontId="35" fillId="0" borderId="8" xfId="0" applyFont="1" applyBorder="1" applyAlignment="1">
      <alignment horizontal="center" wrapText="1"/>
    </xf>
    <xf numFmtId="0" fontId="35" fillId="0" borderId="8" xfId="0" applyFont="1" applyFill="1" applyBorder="1" applyAlignment="1">
      <alignment wrapText="1"/>
    </xf>
    <xf numFmtId="43" fontId="35" fillId="0" borderId="8" xfId="0" applyNumberFormat="1" applyFont="1" applyFill="1" applyBorder="1" applyAlignment="1">
      <alignment wrapText="1"/>
    </xf>
    <xf numFmtId="10" fontId="35" fillId="0" borderId="8" xfId="0" applyNumberFormat="1" applyFont="1" applyFill="1" applyBorder="1" applyAlignment="1">
      <alignment horizontal="center" wrapText="1"/>
    </xf>
    <xf numFmtId="10" fontId="35" fillId="0" borderId="19" xfId="0" applyNumberFormat="1" applyFont="1" applyFill="1" applyBorder="1" applyAlignment="1">
      <alignment horizontal="center" wrapText="1"/>
    </xf>
    <xf numFmtId="10" fontId="35" fillId="0" borderId="21" xfId="0" applyNumberFormat="1" applyFont="1" applyFill="1" applyBorder="1" applyAlignment="1">
      <alignment horizontal="center" wrapText="1"/>
    </xf>
    <xf numFmtId="0" fontId="35" fillId="0" borderId="8" xfId="0" applyFont="1" applyFill="1" applyBorder="1" applyAlignment="1">
      <alignment horizontal="center" wrapText="1"/>
    </xf>
    <xf numFmtId="43" fontId="35" fillId="0" borderId="8" xfId="0" applyNumberFormat="1" applyFont="1" applyFill="1" applyBorder="1" applyAlignment="1">
      <alignment horizontal="right" wrapText="1"/>
    </xf>
    <xf numFmtId="10" fontId="35" fillId="0" borderId="39" xfId="0" applyNumberFormat="1" applyFont="1" applyFill="1" applyBorder="1" applyAlignment="1">
      <alignment horizontal="center" wrapText="1"/>
    </xf>
    <xf numFmtId="17" fontId="35" fillId="0" borderId="8" xfId="0" applyNumberFormat="1" applyFont="1" applyFill="1" applyBorder="1" applyAlignment="1">
      <alignment horizontal="center" wrapText="1"/>
    </xf>
    <xf numFmtId="10" fontId="35" fillId="0" borderId="0" xfId="0" applyNumberFormat="1" applyFont="1" applyFill="1" applyBorder="1" applyAlignment="1">
      <alignment horizontal="center" wrapText="1"/>
    </xf>
    <xf numFmtId="0" fontId="35" fillId="0" borderId="0" xfId="0" applyFont="1" applyBorder="1" applyAlignment="1">
      <alignment horizontal="center" vertical="top" wrapText="1"/>
    </xf>
    <xf numFmtId="0" fontId="35" fillId="0" borderId="0" xfId="0" applyFont="1" applyBorder="1" applyAlignment="1">
      <alignment horizontal="justify" vertical="top" wrapText="1"/>
    </xf>
    <xf numFmtId="0" fontId="35" fillId="0" borderId="65" xfId="0" applyFont="1" applyBorder="1" applyAlignment="1">
      <alignment horizontal="justify" vertical="top" wrapText="1"/>
    </xf>
    <xf numFmtId="0" fontId="36" fillId="12" borderId="65" xfId="0" applyFont="1" applyFill="1" applyBorder="1" applyAlignment="1">
      <alignment vertical="top" wrapText="1"/>
    </xf>
    <xf numFmtId="0" fontId="35" fillId="0" borderId="65" xfId="0" applyFont="1" applyBorder="1" applyAlignment="1">
      <alignment horizontal="right" vertical="top" wrapText="1"/>
    </xf>
    <xf numFmtId="0" fontId="36" fillId="0" borderId="0" xfId="0" applyFont="1" applyFill="1" applyBorder="1" applyAlignment="1">
      <alignment vertical="top" wrapText="1"/>
    </xf>
    <xf numFmtId="43" fontId="7" fillId="0" borderId="0" xfId="0" applyNumberFormat="1" applyFont="1" applyFill="1"/>
    <xf numFmtId="0" fontId="47" fillId="0" borderId="0" xfId="0" applyFont="1" applyBorder="1" applyAlignment="1"/>
    <xf numFmtId="0" fontId="35" fillId="0" borderId="0" xfId="0" applyFont="1" applyBorder="1" applyAlignment="1"/>
    <xf numFmtId="38" fontId="44" fillId="0" borderId="29" xfId="0" applyNumberFormat="1" applyFont="1" applyBorder="1" applyAlignment="1">
      <alignment horizontal="center"/>
    </xf>
    <xf numFmtId="0" fontId="44" fillId="0" borderId="30" xfId="0" applyFont="1" applyBorder="1" applyAlignment="1">
      <alignment horizontal="center"/>
    </xf>
    <xf numFmtId="0" fontId="44" fillId="0" borderId="31" xfId="0" applyFont="1" applyBorder="1" applyAlignment="1">
      <alignment horizontal="center"/>
    </xf>
    <xf numFmtId="0" fontId="44" fillId="0" borderId="29" xfId="0" applyFont="1" applyBorder="1" applyAlignment="1">
      <alignment horizontal="center"/>
    </xf>
    <xf numFmtId="0" fontId="43" fillId="0" borderId="54" xfId="0" applyFont="1" applyBorder="1" applyAlignment="1">
      <alignment horizontal="center"/>
    </xf>
    <xf numFmtId="0" fontId="43" fillId="0" borderId="55" xfId="0" applyFont="1" applyBorder="1" applyAlignment="1">
      <alignment horizontal="center"/>
    </xf>
    <xf numFmtId="0" fontId="43" fillId="0" borderId="30" xfId="0" applyFont="1" applyBorder="1" applyAlignment="1">
      <alignment horizontal="center"/>
    </xf>
    <xf numFmtId="0" fontId="43" fillId="0" borderId="31" xfId="0" applyFont="1" applyBorder="1" applyAlignment="1">
      <alignment horizontal="center"/>
    </xf>
    <xf numFmtId="38" fontId="36" fillId="0" borderId="0" xfId="0" applyNumberFormat="1" applyFont="1" applyBorder="1" applyAlignment="1" applyProtection="1">
      <alignment horizontal="center"/>
      <protection locked="0"/>
    </xf>
    <xf numFmtId="0" fontId="35" fillId="0" borderId="0" xfId="0" applyFont="1" applyAlignment="1">
      <alignment horizontal="center"/>
    </xf>
    <xf numFmtId="0" fontId="36" fillId="0" borderId="0" xfId="0" applyFont="1" applyBorder="1" applyAlignment="1" applyProtection="1">
      <alignment horizontal="center"/>
      <protection locked="0"/>
    </xf>
    <xf numFmtId="0" fontId="36" fillId="0" borderId="0" xfId="0" applyFont="1" applyAlignment="1">
      <alignment horizontal="center"/>
    </xf>
    <xf numFmtId="0" fontId="36" fillId="0" borderId="0" xfId="0" applyFont="1" applyFill="1" applyAlignment="1">
      <alignment horizontal="center"/>
    </xf>
    <xf numFmtId="38" fontId="36" fillId="0" borderId="0" xfId="0" applyNumberFormat="1" applyFont="1" applyFill="1" applyAlignment="1">
      <alignment horizontal="center"/>
    </xf>
    <xf numFmtId="38" fontId="48" fillId="10" borderId="0" xfId="0" applyNumberFormat="1" applyFont="1" applyFill="1" applyAlignment="1" applyProtection="1">
      <alignment horizontal="center" vertical="center" wrapText="1"/>
    </xf>
    <xf numFmtId="0" fontId="35" fillId="5" borderId="0" xfId="0" applyFont="1" applyFill="1" applyAlignment="1">
      <alignment horizontal="center" vertical="center" wrapText="1"/>
    </xf>
    <xf numFmtId="38" fontId="48" fillId="5" borderId="0" xfId="0" applyNumberFormat="1" applyFont="1" applyFill="1" applyAlignment="1" applyProtection="1">
      <alignment horizontal="center" vertical="center" wrapText="1"/>
    </xf>
    <xf numFmtId="0" fontId="48" fillId="10" borderId="0" xfId="0" applyFont="1" applyFill="1" applyAlignment="1" applyProtection="1">
      <alignment horizontal="center" vertical="center" wrapText="1"/>
    </xf>
    <xf numFmtId="0" fontId="48" fillId="10" borderId="19" xfId="0" applyFont="1" applyFill="1" applyBorder="1" applyAlignment="1" applyProtection="1">
      <alignment horizontal="center" vertical="center"/>
    </xf>
    <xf numFmtId="0" fontId="36" fillId="5" borderId="19" xfId="0" applyFont="1" applyFill="1" applyBorder="1" applyAlignment="1">
      <alignment vertical="center"/>
    </xf>
    <xf numFmtId="49" fontId="48" fillId="4" borderId="6" xfId="0" applyNumberFormat="1" applyFont="1" applyFill="1" applyBorder="1" applyAlignment="1" applyProtection="1">
      <alignment horizontal="center" vertical="center" wrapText="1"/>
    </xf>
    <xf numFmtId="0" fontId="48" fillId="4" borderId="10" xfId="0" applyFont="1" applyFill="1" applyBorder="1" applyAlignment="1" applyProtection="1">
      <alignment horizontal="center" vertical="center" wrapText="1"/>
    </xf>
    <xf numFmtId="0" fontId="48" fillId="4" borderId="39" xfId="0" applyFont="1" applyFill="1" applyBorder="1" applyAlignment="1" applyProtection="1">
      <alignment horizontal="center" vertical="center" wrapText="1"/>
    </xf>
    <xf numFmtId="0" fontId="48" fillId="4" borderId="16" xfId="0" applyFont="1" applyFill="1" applyBorder="1" applyAlignment="1" applyProtection="1">
      <alignment horizontal="center" vertical="center" wrapText="1"/>
    </xf>
    <xf numFmtId="38" fontId="48" fillId="4" borderId="0" xfId="0" applyNumberFormat="1" applyFont="1" applyFill="1" applyAlignment="1" applyProtection="1">
      <alignment horizontal="center" vertical="center"/>
    </xf>
    <xf numFmtId="0" fontId="35" fillId="0" borderId="0" xfId="0" applyFont="1" applyAlignment="1">
      <alignment horizontal="center" vertical="center"/>
    </xf>
    <xf numFmtId="49" fontId="48" fillId="4" borderId="0" xfId="0" applyNumberFormat="1" applyFont="1" applyFill="1" applyAlignment="1" applyProtection="1">
      <alignment horizontal="center" vertical="center" wrapText="1"/>
    </xf>
    <xf numFmtId="0" fontId="50" fillId="5" borderId="19" xfId="0" applyFont="1" applyFill="1" applyBorder="1" applyAlignment="1">
      <alignment horizontal="center" wrapText="1"/>
    </xf>
    <xf numFmtId="0" fontId="36" fillId="5" borderId="19" xfId="0" applyFont="1" applyFill="1" applyBorder="1" applyAlignment="1">
      <alignment horizontal="center" wrapText="1"/>
    </xf>
    <xf numFmtId="0" fontId="48" fillId="4" borderId="39" xfId="4" applyNumberFormat="1" applyFont="1" applyFill="1" applyBorder="1" applyAlignment="1" applyProtection="1">
      <alignment horizontal="center" vertical="center"/>
    </xf>
    <xf numFmtId="0" fontId="14" fillId="0" borderId="53" xfId="0" applyFont="1" applyBorder="1" applyAlignment="1">
      <alignment wrapText="1"/>
    </xf>
    <xf numFmtId="0" fontId="0" fillId="0" borderId="39" xfId="0" applyBorder="1" applyAlignment="1">
      <alignment wrapText="1"/>
    </xf>
    <xf numFmtId="0" fontId="0" fillId="0" borderId="16" xfId="0" applyBorder="1" applyAlignment="1">
      <alignment wrapText="1"/>
    </xf>
    <xf numFmtId="0" fontId="6" fillId="4" borderId="7" xfId="0" applyFont="1" applyFill="1" applyBorder="1" applyAlignment="1">
      <alignment horizontal="center" vertical="center" wrapText="1"/>
    </xf>
    <xf numFmtId="38" fontId="12" fillId="0" borderId="29" xfId="0" applyNumberFormat="1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36" fillId="4" borderId="7" xfId="0" applyFont="1" applyFill="1" applyBorder="1" applyAlignment="1">
      <alignment horizontal="center" vertical="center" wrapText="1"/>
    </xf>
    <xf numFmtId="38" fontId="51" fillId="0" borderId="29" xfId="0" applyNumberFormat="1" applyFont="1" applyBorder="1" applyAlignment="1">
      <alignment horizontal="center"/>
    </xf>
    <xf numFmtId="0" fontId="51" fillId="0" borderId="30" xfId="0" applyFont="1" applyBorder="1" applyAlignment="1">
      <alignment horizontal="center"/>
    </xf>
    <xf numFmtId="0" fontId="51" fillId="0" borderId="31" xfId="0" applyFont="1" applyBorder="1" applyAlignment="1">
      <alignment horizontal="center"/>
    </xf>
    <xf numFmtId="0" fontId="51" fillId="0" borderId="29" xfId="0" applyFont="1" applyBorder="1" applyAlignment="1">
      <alignment horizontal="center"/>
    </xf>
    <xf numFmtId="168" fontId="36" fillId="0" borderId="20" xfId="0" applyNumberFormat="1" applyFont="1" applyFill="1" applyBorder="1" applyAlignment="1">
      <alignment textRotation="90" wrapText="1"/>
    </xf>
    <xf numFmtId="168" fontId="36" fillId="0" borderId="12" xfId="0" applyNumberFormat="1" applyFont="1" applyFill="1" applyBorder="1" applyAlignment="1">
      <alignment textRotation="90" wrapText="1"/>
    </xf>
    <xf numFmtId="168" fontId="36" fillId="0" borderId="17" xfId="0" applyNumberFormat="1" applyFont="1" applyFill="1" applyBorder="1" applyAlignment="1">
      <alignment textRotation="90" wrapText="1"/>
    </xf>
    <xf numFmtId="164" fontId="35" fillId="0" borderId="9" xfId="0" applyNumberFormat="1" applyFont="1" applyFill="1" applyBorder="1" applyAlignment="1">
      <alignment horizontal="right" wrapText="1"/>
    </xf>
    <xf numFmtId="0" fontId="35" fillId="0" borderId="9" xfId="0" applyFont="1" applyFill="1" applyBorder="1" applyAlignment="1">
      <alignment horizontal="right" wrapText="1"/>
    </xf>
    <xf numFmtId="0" fontId="36" fillId="0" borderId="6" xfId="0" applyFont="1" applyFill="1" applyBorder="1" applyAlignment="1">
      <alignment horizontal="left"/>
    </xf>
    <xf numFmtId="0" fontId="35" fillId="0" borderId="7" xfId="0" applyFont="1" applyFill="1" applyBorder="1" applyAlignment="1">
      <alignment horizontal="center" vertical="center" wrapText="1"/>
    </xf>
    <xf numFmtId="0" fontId="35" fillId="0" borderId="53" xfId="0" applyFont="1" applyFill="1" applyBorder="1" applyAlignment="1">
      <alignment horizontal="center" vertical="center" wrapText="1"/>
    </xf>
    <xf numFmtId="0" fontId="35" fillId="0" borderId="39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38" fontId="35" fillId="0" borderId="29" xfId="0" applyNumberFormat="1" applyFont="1" applyFill="1" applyBorder="1" applyAlignment="1">
      <alignment horizontal="center"/>
    </xf>
    <xf numFmtId="0" fontId="35" fillId="0" borderId="30" xfId="0" applyFont="1" applyFill="1" applyBorder="1" applyAlignment="1">
      <alignment horizontal="center"/>
    </xf>
    <xf numFmtId="0" fontId="35" fillId="0" borderId="31" xfId="0" applyFont="1" applyFill="1" applyBorder="1" applyAlignment="1">
      <alignment horizontal="center"/>
    </xf>
    <xf numFmtId="0" fontId="35" fillId="0" borderId="29" xfId="0" applyFont="1" applyFill="1" applyBorder="1" applyAlignment="1">
      <alignment horizontal="center"/>
    </xf>
    <xf numFmtId="0" fontId="36" fillId="0" borderId="29" xfId="0" applyFont="1" applyFill="1" applyBorder="1" applyAlignment="1">
      <alignment horizontal="center"/>
    </xf>
    <xf numFmtId="0" fontId="36" fillId="0" borderId="30" xfId="0" applyFont="1" applyFill="1" applyBorder="1" applyAlignment="1">
      <alignment horizontal="center"/>
    </xf>
    <xf numFmtId="0" fontId="36" fillId="0" borderId="31" xfId="0" applyFont="1" applyFill="1" applyBorder="1" applyAlignment="1">
      <alignment horizontal="center"/>
    </xf>
    <xf numFmtId="0" fontId="35" fillId="0" borderId="53" xfId="0" applyFont="1" applyFill="1" applyBorder="1" applyAlignment="1">
      <alignment horizontal="center" vertical="center"/>
    </xf>
    <xf numFmtId="0" fontId="35" fillId="0" borderId="39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wrapText="1"/>
    </xf>
    <xf numFmtId="0" fontId="36" fillId="0" borderId="13" xfId="0" applyFont="1" applyFill="1" applyBorder="1" applyAlignment="1">
      <alignment wrapText="1"/>
    </xf>
    <xf numFmtId="0" fontId="36" fillId="0" borderId="14" xfId="0" applyFont="1" applyFill="1" applyBorder="1" applyAlignment="1">
      <alignment wrapText="1"/>
    </xf>
    <xf numFmtId="0" fontId="35" fillId="0" borderId="9" xfId="0" applyFont="1" applyFill="1" applyBorder="1" applyAlignment="1">
      <alignment wrapText="1"/>
    </xf>
    <xf numFmtId="0" fontId="35" fillId="0" borderId="29" xfId="0" applyFont="1" applyBorder="1" applyAlignment="1">
      <alignment horizontal="center"/>
    </xf>
    <xf numFmtId="0" fontId="35" fillId="0" borderId="30" xfId="0" applyFont="1" applyBorder="1" applyAlignment="1">
      <alignment horizontal="center"/>
    </xf>
    <xf numFmtId="0" fontId="35" fillId="0" borderId="31" xfId="0" applyFont="1" applyBorder="1" applyAlignment="1">
      <alignment horizontal="center"/>
    </xf>
    <xf numFmtId="38" fontId="35" fillId="0" borderId="29" xfId="0" applyNumberFormat="1" applyFont="1" applyBorder="1" applyAlignment="1">
      <alignment horizontal="center"/>
    </xf>
    <xf numFmtId="0" fontId="36" fillId="0" borderId="29" xfId="0" applyFont="1" applyBorder="1" applyAlignment="1">
      <alignment horizontal="center"/>
    </xf>
    <xf numFmtId="0" fontId="36" fillId="0" borderId="30" xfId="0" applyFont="1" applyBorder="1" applyAlignment="1">
      <alignment horizontal="center"/>
    </xf>
    <xf numFmtId="0" fontId="36" fillId="0" borderId="31" xfId="0" applyFont="1" applyBorder="1" applyAlignment="1">
      <alignment horizontal="center"/>
    </xf>
    <xf numFmtId="0" fontId="35" fillId="0" borderId="9" xfId="0" applyFont="1" applyBorder="1" applyAlignment="1">
      <alignment wrapText="1"/>
    </xf>
    <xf numFmtId="164" fontId="35" fillId="0" borderId="9" xfId="0" applyNumberFormat="1" applyFont="1" applyBorder="1" applyAlignment="1">
      <alignment horizontal="right" wrapText="1"/>
    </xf>
    <xf numFmtId="0" fontId="35" fillId="0" borderId="9" xfId="0" applyFont="1" applyBorder="1" applyAlignment="1">
      <alignment horizontal="right" wrapText="1"/>
    </xf>
    <xf numFmtId="0" fontId="36" fillId="0" borderId="6" xfId="0" applyFont="1" applyBorder="1" applyAlignment="1">
      <alignment horizontal="left"/>
    </xf>
    <xf numFmtId="0" fontId="35" fillId="4" borderId="40" xfId="0" applyFont="1" applyFill="1" applyBorder="1" applyAlignment="1">
      <alignment horizontal="center" vertical="center" wrapText="1"/>
    </xf>
    <xf numFmtId="0" fontId="35" fillId="4" borderId="11" xfId="0" applyFont="1" applyFill="1" applyBorder="1" applyAlignment="1">
      <alignment horizontal="center" vertical="center" wrapText="1"/>
    </xf>
    <xf numFmtId="0" fontId="35" fillId="4" borderId="10" xfId="0" applyFont="1" applyFill="1" applyBorder="1" applyAlignment="1">
      <alignment horizontal="center" vertical="center" wrapText="1"/>
    </xf>
    <xf numFmtId="0" fontId="35" fillId="4" borderId="53" xfId="0" applyFont="1" applyFill="1" applyBorder="1" applyAlignment="1">
      <alignment horizontal="center" vertical="center" wrapText="1"/>
    </xf>
    <xf numFmtId="0" fontId="35" fillId="4" borderId="39" xfId="0" applyFont="1" applyFill="1" applyBorder="1" applyAlignment="1">
      <alignment horizontal="center" vertical="center" wrapText="1"/>
    </xf>
    <xf numFmtId="0" fontId="35" fillId="4" borderId="16" xfId="0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wrapText="1"/>
    </xf>
    <xf numFmtId="0" fontId="36" fillId="0" borderId="14" xfId="0" applyFont="1" applyBorder="1" applyAlignment="1">
      <alignment wrapText="1"/>
    </xf>
    <xf numFmtId="168" fontId="35" fillId="8" borderId="20" xfId="0" applyNumberFormat="1" applyFont="1" applyFill="1" applyBorder="1" applyAlignment="1">
      <alignment textRotation="90" wrapText="1"/>
    </xf>
    <xf numFmtId="0" fontId="35" fillId="0" borderId="12" xfId="0" applyFont="1" applyBorder="1" applyAlignment="1">
      <alignment textRotation="90" wrapText="1"/>
    </xf>
    <xf numFmtId="0" fontId="35" fillId="0" borderId="17" xfId="0" applyFont="1" applyBorder="1" applyAlignment="1">
      <alignment textRotation="90" wrapText="1"/>
    </xf>
    <xf numFmtId="168" fontId="35" fillId="0" borderId="20" xfId="0" applyNumberFormat="1" applyFont="1" applyFill="1" applyBorder="1" applyAlignment="1">
      <alignment textRotation="90" wrapText="1"/>
    </xf>
    <xf numFmtId="168" fontId="35" fillId="0" borderId="12" xfId="0" applyNumberFormat="1" applyFont="1" applyFill="1" applyBorder="1" applyAlignment="1">
      <alignment textRotation="90" wrapText="1"/>
    </xf>
    <xf numFmtId="168" fontId="35" fillId="0" borderId="17" xfId="0" applyNumberFormat="1" applyFont="1" applyFill="1" applyBorder="1" applyAlignment="1">
      <alignment textRotation="90" wrapText="1"/>
    </xf>
    <xf numFmtId="0" fontId="35" fillId="0" borderId="40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46" xfId="0" applyFont="1" applyFill="1" applyBorder="1" applyAlignment="1">
      <alignment horizontal="center" vertical="center" wrapText="1"/>
    </xf>
    <xf numFmtId="0" fontId="35" fillId="0" borderId="6" xfId="0" applyFont="1" applyFill="1" applyBorder="1" applyAlignment="1">
      <alignment horizontal="center" vertical="center" wrapText="1"/>
    </xf>
    <xf numFmtId="0" fontId="35" fillId="0" borderId="47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justify"/>
    </xf>
    <xf numFmtId="0" fontId="36" fillId="0" borderId="14" xfId="0" applyFont="1" applyFill="1" applyBorder="1" applyAlignment="1"/>
    <xf numFmtId="0" fontId="35" fillId="0" borderId="39" xfId="0" applyFont="1" applyFill="1" applyBorder="1" applyAlignment="1">
      <alignment horizontal="center"/>
    </xf>
    <xf numFmtId="0" fontId="35" fillId="0" borderId="53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left" vertical="top" wrapText="1"/>
    </xf>
    <xf numFmtId="0" fontId="36" fillId="0" borderId="19" xfId="0" applyFont="1" applyFill="1" applyBorder="1" applyAlignment="1"/>
    <xf numFmtId="0" fontId="55" fillId="0" borderId="6" xfId="0" applyFont="1" applyFill="1" applyBorder="1" applyAlignment="1">
      <alignment wrapText="1"/>
    </xf>
    <xf numFmtId="0" fontId="54" fillId="0" borderId="6" xfId="0" applyFont="1" applyFill="1" applyBorder="1" applyAlignment="1">
      <alignment wrapText="1"/>
    </xf>
    <xf numFmtId="0" fontId="54" fillId="0" borderId="29" xfId="0" applyFont="1" applyFill="1" applyBorder="1" applyAlignment="1">
      <alignment horizontal="center"/>
    </xf>
    <xf numFmtId="0" fontId="54" fillId="0" borderId="30" xfId="0" applyFont="1" applyFill="1" applyBorder="1" applyAlignment="1">
      <alignment horizontal="center"/>
    </xf>
    <xf numFmtId="0" fontId="54" fillId="0" borderId="31" xfId="0" applyFont="1" applyFill="1" applyBorder="1" applyAlignment="1">
      <alignment horizontal="center"/>
    </xf>
    <xf numFmtId="0" fontId="55" fillId="0" borderId="39" xfId="0" applyFont="1" applyFill="1" applyBorder="1" applyAlignment="1">
      <alignment horizontal="center" wrapText="1"/>
    </xf>
    <xf numFmtId="0" fontId="54" fillId="0" borderId="6" xfId="0" applyFont="1" applyFill="1" applyBorder="1" applyAlignment="1">
      <alignment horizontal="left"/>
    </xf>
    <xf numFmtId="38" fontId="54" fillId="0" borderId="29" xfId="0" applyNumberFormat="1" applyFont="1" applyFill="1" applyBorder="1" applyAlignment="1">
      <alignment horizontal="center"/>
    </xf>
    <xf numFmtId="0" fontId="54" fillId="0" borderId="39" xfId="0" applyFont="1" applyFill="1" applyBorder="1" applyAlignment="1">
      <alignment wrapText="1"/>
    </xf>
    <xf numFmtId="0" fontId="55" fillId="0" borderId="18" xfId="0" applyFont="1" applyFill="1" applyBorder="1" applyAlignment="1">
      <alignment wrapText="1"/>
    </xf>
    <xf numFmtId="0" fontId="55" fillId="0" borderId="14" xfId="0" applyFont="1" applyFill="1" applyBorder="1" applyAlignment="1">
      <alignment wrapText="1"/>
    </xf>
    <xf numFmtId="0" fontId="55" fillId="0" borderId="29" xfId="0" applyFont="1" applyFill="1" applyBorder="1" applyAlignment="1">
      <alignment horizontal="center"/>
    </xf>
    <xf numFmtId="0" fontId="55" fillId="0" borderId="30" xfId="0" applyFont="1" applyFill="1" applyBorder="1" applyAlignment="1">
      <alignment horizontal="center"/>
    </xf>
    <xf numFmtId="0" fontId="55" fillId="0" borderId="31" xfId="0" applyFont="1" applyFill="1" applyBorder="1" applyAlignment="1">
      <alignment horizontal="center"/>
    </xf>
    <xf numFmtId="0" fontId="54" fillId="0" borderId="39" xfId="0" applyFont="1" applyFill="1" applyBorder="1" applyAlignment="1">
      <alignment vertical="top" wrapText="1"/>
    </xf>
    <xf numFmtId="0" fontId="55" fillId="0" borderId="6" xfId="0" applyFont="1" applyFill="1" applyBorder="1" applyAlignment="1">
      <alignment horizontal="left"/>
    </xf>
    <xf numFmtId="0" fontId="54" fillId="0" borderId="4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54" fillId="0" borderId="46" xfId="0" applyFont="1" applyFill="1" applyBorder="1" applyAlignment="1">
      <alignment horizontal="center" vertical="center" wrapText="1"/>
    </xf>
    <xf numFmtId="0" fontId="54" fillId="0" borderId="47" xfId="0" applyFont="1" applyFill="1" applyBorder="1" applyAlignment="1">
      <alignment horizontal="center" vertical="center" wrapText="1"/>
    </xf>
    <xf numFmtId="0" fontId="35" fillId="0" borderId="53" xfId="0" applyFont="1" applyFill="1" applyBorder="1" applyAlignment="1"/>
    <xf numFmtId="0" fontId="35" fillId="0" borderId="16" xfId="0" applyFont="1" applyFill="1" applyBorder="1" applyAlignment="1"/>
    <xf numFmtId="4" fontId="35" fillId="0" borderId="53" xfId="0" applyNumberFormat="1" applyFont="1" applyFill="1" applyBorder="1" applyAlignment="1">
      <alignment horizontal="center" vertical="center" wrapText="1"/>
    </xf>
    <xf numFmtId="0" fontId="36" fillId="0" borderId="53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4" fontId="35" fillId="0" borderId="53" xfId="0" applyNumberFormat="1" applyFont="1" applyFill="1" applyBorder="1" applyAlignment="1"/>
    <xf numFmtId="4" fontId="35" fillId="0" borderId="16" xfId="0" applyNumberFormat="1" applyFont="1" applyFill="1" applyBorder="1" applyAlignment="1"/>
    <xf numFmtId="0" fontId="36" fillId="0" borderId="53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4" fontId="35" fillId="0" borderId="53" xfId="1" applyNumberFormat="1" applyFont="1" applyFill="1" applyBorder="1" applyAlignment="1"/>
    <xf numFmtId="4" fontId="35" fillId="0" borderId="16" xfId="1" applyNumberFormat="1" applyFont="1" applyFill="1" applyBorder="1" applyAlignment="1"/>
    <xf numFmtId="0" fontId="36" fillId="0" borderId="39" xfId="0" applyFont="1" applyFill="1" applyBorder="1" applyAlignment="1">
      <alignment horizontal="center" vertical="center" wrapText="1"/>
    </xf>
    <xf numFmtId="43" fontId="35" fillId="0" borderId="7" xfId="1" applyNumberFormat="1" applyFont="1" applyFill="1" applyBorder="1" applyAlignment="1">
      <alignment horizontal="center" vertical="top" wrapText="1"/>
    </xf>
    <xf numFmtId="43" fontId="35" fillId="0" borderId="53" xfId="1" applyNumberFormat="1" applyFont="1" applyFill="1" applyBorder="1" applyAlignment="1">
      <alignment horizontal="right" vertical="top" wrapText="1"/>
    </xf>
    <xf numFmtId="43" fontId="35" fillId="0" borderId="16" xfId="1" applyNumberFormat="1" applyFont="1" applyFill="1" applyBorder="1" applyAlignment="1">
      <alignment horizontal="right" vertical="top" wrapText="1"/>
    </xf>
    <xf numFmtId="0" fontId="35" fillId="0" borderId="7" xfId="0" applyFont="1" applyFill="1" applyBorder="1" applyAlignment="1">
      <alignment horizontal="center" vertical="top" wrapText="1"/>
    </xf>
    <xf numFmtId="0" fontId="36" fillId="0" borderId="39" xfId="0" applyFont="1" applyFill="1" applyBorder="1" applyAlignment="1">
      <alignment horizontal="center" vertical="center"/>
    </xf>
    <xf numFmtId="0" fontId="36" fillId="0" borderId="53" xfId="0" applyFont="1" applyFill="1" applyBorder="1" applyAlignment="1">
      <alignment horizontal="center" wrapText="1"/>
    </xf>
    <xf numFmtId="0" fontId="36" fillId="0" borderId="16" xfId="0" applyFont="1" applyFill="1" applyBorder="1" applyAlignment="1">
      <alignment horizontal="center" wrapText="1"/>
    </xf>
    <xf numFmtId="0" fontId="36" fillId="0" borderId="39" xfId="0" applyFont="1" applyFill="1" applyBorder="1" applyAlignment="1">
      <alignment horizontal="center" wrapText="1"/>
    </xf>
    <xf numFmtId="0" fontId="35" fillId="0" borderId="53" xfId="0" applyFont="1" applyFill="1" applyBorder="1" applyAlignment="1">
      <alignment vertical="top" wrapText="1"/>
    </xf>
    <xf numFmtId="0" fontId="35" fillId="0" borderId="39" xfId="0" applyFont="1" applyFill="1" applyBorder="1" applyAlignment="1">
      <alignment vertical="top" wrapText="1"/>
    </xf>
    <xf numFmtId="0" fontId="35" fillId="0" borderId="53" xfId="0" applyFont="1" applyFill="1" applyBorder="1" applyAlignment="1">
      <alignment horizontal="center" vertical="top" wrapText="1"/>
    </xf>
    <xf numFmtId="0" fontId="35" fillId="0" borderId="39" xfId="0" applyFont="1" applyFill="1" applyBorder="1" applyAlignment="1">
      <alignment horizontal="center" vertical="top" wrapText="1"/>
    </xf>
    <xf numFmtId="4" fontId="35" fillId="0" borderId="53" xfId="1" applyNumberFormat="1" applyFont="1" applyFill="1" applyBorder="1" applyAlignment="1">
      <alignment horizontal="right" vertical="center"/>
    </xf>
    <xf numFmtId="4" fontId="35" fillId="0" borderId="16" xfId="1" applyNumberFormat="1" applyFont="1" applyFill="1" applyBorder="1" applyAlignment="1">
      <alignment horizontal="right" vertical="center"/>
    </xf>
    <xf numFmtId="4" fontId="35" fillId="0" borderId="7" xfId="1" applyNumberFormat="1" applyFont="1" applyFill="1" applyBorder="1" applyAlignment="1"/>
    <xf numFmtId="4" fontId="35" fillId="0" borderId="53" xfId="1" applyNumberFormat="1" applyFont="1" applyFill="1" applyBorder="1" applyAlignment="1">
      <alignment horizontal="center"/>
    </xf>
    <xf numFmtId="4" fontId="35" fillId="0" borderId="16" xfId="1" applyNumberFormat="1" applyFont="1" applyFill="1" applyBorder="1" applyAlignment="1">
      <alignment horizontal="center"/>
    </xf>
    <xf numFmtId="4" fontId="35" fillId="0" borderId="53" xfId="1" applyNumberFormat="1" applyFont="1" applyFill="1" applyBorder="1" applyAlignment="1">
      <alignment horizontal="center" vertical="center"/>
    </xf>
    <xf numFmtId="4" fontId="35" fillId="0" borderId="16" xfId="1" applyNumberFormat="1" applyFont="1" applyFill="1" applyBorder="1" applyAlignment="1">
      <alignment horizontal="center" vertical="center"/>
    </xf>
    <xf numFmtId="39" fontId="35" fillId="0" borderId="53" xfId="0" applyNumberFormat="1" applyFont="1" applyFill="1" applyBorder="1" applyAlignment="1">
      <alignment horizontal="center"/>
    </xf>
    <xf numFmtId="39" fontId="35" fillId="0" borderId="39" xfId="0" applyNumberFormat="1" applyFont="1" applyFill="1" applyBorder="1" applyAlignment="1">
      <alignment horizontal="center"/>
    </xf>
    <xf numFmtId="39" fontId="35" fillId="0" borderId="16" xfId="0" applyNumberFormat="1" applyFont="1" applyFill="1" applyBorder="1" applyAlignment="1">
      <alignment horizontal="center"/>
    </xf>
    <xf numFmtId="4" fontId="35" fillId="0" borderId="7" xfId="0" applyNumberFormat="1" applyFont="1" applyFill="1" applyBorder="1" applyAlignment="1"/>
    <xf numFmtId="4" fontId="35" fillId="17" borderId="53" xfId="0" applyNumberFormat="1" applyFont="1" applyFill="1" applyBorder="1" applyAlignment="1">
      <alignment horizontal="center" wrapText="1"/>
    </xf>
    <xf numFmtId="4" fontId="35" fillId="17" borderId="16" xfId="0" applyNumberFormat="1" applyFont="1" applyFill="1" applyBorder="1" applyAlignment="1">
      <alignment horizontal="center" wrapText="1"/>
    </xf>
    <xf numFmtId="0" fontId="35" fillId="0" borderId="7" xfId="0" applyFont="1" applyFill="1" applyBorder="1" applyAlignment="1"/>
    <xf numFmtId="0" fontId="11" fillId="0" borderId="6" xfId="0" applyFont="1" applyFill="1" applyBorder="1" applyAlignment="1">
      <alignment horizontal="left" vertical="center" wrapText="1"/>
    </xf>
    <xf numFmtId="0" fontId="36" fillId="0" borderId="56" xfId="0" applyFont="1" applyFill="1" applyBorder="1" applyAlignment="1">
      <alignment horizontal="center" vertical="center" wrapText="1"/>
    </xf>
    <xf numFmtId="0" fontId="36" fillId="0" borderId="57" xfId="0" applyFont="1" applyFill="1" applyBorder="1" applyAlignment="1">
      <alignment horizontal="center" vertical="center" wrapText="1"/>
    </xf>
    <xf numFmtId="4" fontId="35" fillId="0" borderId="7" xfId="1" applyNumberFormat="1" applyFont="1" applyFill="1" applyBorder="1" applyAlignment="1">
      <alignment horizontal="center" vertical="top" wrapText="1"/>
    </xf>
    <xf numFmtId="8" fontId="35" fillId="0" borderId="21" xfId="0" applyNumberFormat="1" applyFont="1" applyFill="1" applyBorder="1" applyAlignment="1">
      <alignment horizontal="right"/>
    </xf>
    <xf numFmtId="0" fontId="41" fillId="0" borderId="58" xfId="0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left" vertical="center"/>
    </xf>
    <xf numFmtId="37" fontId="35" fillId="0" borderId="53" xfId="0" applyNumberFormat="1" applyFont="1" applyFill="1" applyBorder="1" applyAlignment="1">
      <alignment horizontal="center" vertical="center"/>
    </xf>
    <xf numFmtId="37" fontId="35" fillId="0" borderId="39" xfId="0" applyNumberFormat="1" applyFont="1" applyFill="1" applyBorder="1" applyAlignment="1">
      <alignment horizontal="center" vertical="center"/>
    </xf>
    <xf numFmtId="37" fontId="35" fillId="0" borderId="16" xfId="0" applyNumberFormat="1" applyFont="1" applyFill="1" applyBorder="1" applyAlignment="1">
      <alignment horizontal="center" vertical="center"/>
    </xf>
    <xf numFmtId="37" fontId="36" fillId="0" borderId="53" xfId="0" applyNumberFormat="1" applyFont="1" applyFill="1" applyBorder="1" applyAlignment="1">
      <alignment horizontal="center"/>
    </xf>
    <xf numFmtId="37" fontId="36" fillId="0" borderId="16" xfId="0" applyNumberFormat="1" applyFont="1" applyFill="1" applyBorder="1" applyAlignment="1">
      <alignment horizontal="center"/>
    </xf>
    <xf numFmtId="37" fontId="35" fillId="0" borderId="53" xfId="0" applyNumberFormat="1" applyFont="1" applyFill="1" applyBorder="1" applyAlignment="1">
      <alignment horizontal="center"/>
    </xf>
    <xf numFmtId="37" fontId="35" fillId="0" borderId="39" xfId="0" applyNumberFormat="1" applyFont="1" applyFill="1" applyBorder="1" applyAlignment="1">
      <alignment horizontal="center"/>
    </xf>
    <xf numFmtId="37" fontId="35" fillId="0" borderId="16" xfId="0" applyNumberFormat="1" applyFont="1" applyFill="1" applyBorder="1" applyAlignment="1">
      <alignment horizontal="center"/>
    </xf>
    <xf numFmtId="4" fontId="35" fillId="0" borderId="39" xfId="1" applyNumberFormat="1" applyFont="1" applyFill="1" applyBorder="1" applyAlignment="1">
      <alignment horizontal="center" vertical="center"/>
    </xf>
    <xf numFmtId="4" fontId="36" fillId="17" borderId="53" xfId="0" applyNumberFormat="1" applyFont="1" applyFill="1" applyBorder="1" applyAlignment="1">
      <alignment horizontal="center"/>
    </xf>
    <xf numFmtId="4" fontId="36" fillId="17" borderId="39" xfId="0" applyNumberFormat="1" applyFont="1" applyFill="1" applyBorder="1" applyAlignment="1">
      <alignment horizontal="center"/>
    </xf>
    <xf numFmtId="4" fontId="35" fillId="0" borderId="53" xfId="1" applyNumberFormat="1" applyFont="1" applyFill="1" applyBorder="1" applyAlignment="1">
      <alignment horizontal="center" vertical="center" wrapText="1"/>
    </xf>
    <xf numFmtId="4" fontId="35" fillId="0" borderId="16" xfId="1" applyNumberFormat="1" applyFont="1" applyFill="1" applyBorder="1" applyAlignment="1">
      <alignment horizontal="center" vertical="center" wrapText="1"/>
    </xf>
    <xf numFmtId="38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35" fillId="0" borderId="0" xfId="0" applyFont="1" applyFill="1" applyAlignment="1">
      <alignment horizontal="center"/>
    </xf>
    <xf numFmtId="0" fontId="35" fillId="0" borderId="59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43" fontId="56" fillId="0" borderId="53" xfId="0" applyNumberFormat="1" applyFont="1" applyFill="1" applyBorder="1" applyAlignment="1">
      <alignment horizontal="center" vertical="top" wrapText="1"/>
    </xf>
    <xf numFmtId="43" fontId="56" fillId="0" borderId="16" xfId="0" applyNumberFormat="1" applyFont="1" applyFill="1" applyBorder="1" applyAlignment="1">
      <alignment horizontal="center" vertical="top" wrapText="1"/>
    </xf>
    <xf numFmtId="0" fontId="35" fillId="4" borderId="20" xfId="0" applyFont="1" applyFill="1" applyBorder="1" applyAlignment="1">
      <alignment horizontal="center" vertical="center" wrapText="1"/>
    </xf>
    <xf numFmtId="0" fontId="35" fillId="4" borderId="12" xfId="0" applyFont="1" applyFill="1" applyBorder="1" applyAlignment="1">
      <alignment horizontal="center" vertical="center" wrapText="1"/>
    </xf>
    <xf numFmtId="0" fontId="35" fillId="4" borderId="17" xfId="0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horizontal="center" wrapText="1"/>
    </xf>
    <xf numFmtId="0" fontId="35" fillId="0" borderId="12" xfId="0" applyFont="1" applyFill="1" applyBorder="1" applyAlignment="1">
      <alignment horizontal="center" wrapText="1"/>
    </xf>
    <xf numFmtId="38" fontId="11" fillId="0" borderId="29" xfId="0" applyNumberFormat="1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35" fillId="4" borderId="39" xfId="0" applyFont="1" applyFill="1" applyBorder="1" applyAlignment="1">
      <alignment wrapText="1"/>
    </xf>
    <xf numFmtId="0" fontId="35" fillId="4" borderId="16" xfId="0" applyFont="1" applyFill="1" applyBorder="1" applyAlignment="1">
      <alignment wrapText="1"/>
    </xf>
    <xf numFmtId="0" fontId="35" fillId="4" borderId="46" xfId="0" applyFont="1" applyFill="1" applyBorder="1" applyAlignment="1">
      <alignment horizontal="center" vertical="center" wrapText="1"/>
    </xf>
    <xf numFmtId="0" fontId="35" fillId="4" borderId="28" xfId="0" applyFont="1" applyFill="1" applyBorder="1" applyAlignment="1">
      <alignment horizontal="center" vertical="center" wrapText="1"/>
    </xf>
    <xf numFmtId="0" fontId="35" fillId="4" borderId="47" xfId="0" applyFont="1" applyFill="1" applyBorder="1" applyAlignment="1">
      <alignment horizontal="center" vertical="center" wrapText="1"/>
    </xf>
    <xf numFmtId="0" fontId="35" fillId="4" borderId="6" xfId="0" applyFont="1" applyFill="1" applyBorder="1" applyAlignment="1">
      <alignment horizontal="center" vertical="center" wrapText="1"/>
    </xf>
    <xf numFmtId="0" fontId="35" fillId="4" borderId="19" xfId="0" applyFont="1" applyFill="1" applyBorder="1" applyAlignment="1">
      <alignment horizontal="center" vertical="center" wrapText="1"/>
    </xf>
    <xf numFmtId="38" fontId="46" fillId="0" borderId="29" xfId="0" applyNumberFormat="1" applyFont="1" applyFill="1" applyBorder="1" applyAlignment="1">
      <alignment horizontal="center"/>
    </xf>
    <xf numFmtId="0" fontId="46" fillId="0" borderId="31" xfId="0" applyFont="1" applyFill="1" applyBorder="1" applyAlignment="1">
      <alignment horizontal="center"/>
    </xf>
    <xf numFmtId="0" fontId="46" fillId="0" borderId="29" xfId="0" applyFont="1" applyFill="1" applyBorder="1" applyAlignment="1">
      <alignment horizontal="center"/>
    </xf>
    <xf numFmtId="0" fontId="51" fillId="0" borderId="6" xfId="0" applyFont="1" applyFill="1" applyBorder="1" applyAlignment="1">
      <alignment horizontal="left"/>
    </xf>
    <xf numFmtId="0" fontId="46" fillId="0" borderId="6" xfId="0" applyFont="1" applyFill="1" applyBorder="1" applyAlignment="1">
      <alignment horizontal="left"/>
    </xf>
    <xf numFmtId="0" fontId="51" fillId="0" borderId="29" xfId="0" applyFont="1" applyFill="1" applyBorder="1" applyAlignment="1">
      <alignment horizontal="center"/>
    </xf>
    <xf numFmtId="0" fontId="51" fillId="0" borderId="31" xfId="0" applyFont="1" applyFill="1" applyBorder="1" applyAlignment="1">
      <alignment horizontal="center"/>
    </xf>
    <xf numFmtId="0" fontId="46" fillId="0" borderId="29" xfId="0" applyFont="1" applyBorder="1" applyAlignment="1">
      <alignment horizontal="center"/>
    </xf>
    <xf numFmtId="0" fontId="46" fillId="0" borderId="31" xfId="0" applyFont="1" applyBorder="1" applyAlignment="1">
      <alignment horizontal="center"/>
    </xf>
    <xf numFmtId="0" fontId="12" fillId="0" borderId="6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38" fontId="46" fillId="0" borderId="29" xfId="0" applyNumberFormat="1" applyFont="1" applyBorder="1" applyAlignment="1">
      <alignment horizontal="center"/>
    </xf>
    <xf numFmtId="0" fontId="46" fillId="0" borderId="0" xfId="0" applyFont="1" applyBorder="1" applyAlignment="1">
      <alignment horizontal="justify" wrapText="1"/>
    </xf>
    <xf numFmtId="164" fontId="46" fillId="0" borderId="0" xfId="0" applyNumberFormat="1" applyFont="1" applyBorder="1" applyAlignment="1">
      <alignment horizontal="right" wrapText="1"/>
    </xf>
    <xf numFmtId="0" fontId="46" fillId="0" borderId="0" xfId="0" applyFont="1" applyFill="1" applyAlignment="1">
      <alignment horizontal="center" wrapText="1"/>
    </xf>
    <xf numFmtId="0" fontId="46" fillId="0" borderId="0" xfId="0" applyFont="1" applyFill="1" applyAlignment="1">
      <alignment horizontal="justify" wrapText="1"/>
    </xf>
    <xf numFmtId="38" fontId="46" fillId="0" borderId="0" xfId="0" applyNumberFormat="1" applyFont="1" applyFill="1" applyAlignment="1">
      <alignment horizontal="center" wrapText="1"/>
    </xf>
    <xf numFmtId="0" fontId="51" fillId="0" borderId="0" xfId="0" applyFont="1" applyFill="1" applyAlignment="1">
      <alignment horizontal="center" wrapText="1"/>
    </xf>
    <xf numFmtId="0" fontId="36" fillId="12" borderId="60" xfId="0" applyFont="1" applyFill="1" applyBorder="1" applyAlignment="1">
      <alignment vertical="top" wrapText="1"/>
    </xf>
    <xf numFmtId="0" fontId="36" fillId="12" borderId="44" xfId="0" applyFont="1" applyFill="1" applyBorder="1" applyAlignment="1">
      <alignment vertical="top" wrapText="1"/>
    </xf>
    <xf numFmtId="0" fontId="36" fillId="12" borderId="45" xfId="0" applyFont="1" applyFill="1" applyBorder="1" applyAlignment="1">
      <alignment vertical="top" wrapText="1"/>
    </xf>
    <xf numFmtId="0" fontId="35" fillId="0" borderId="60" xfId="0" applyFont="1" applyBorder="1" applyAlignment="1">
      <alignment horizontal="center" vertical="top" wrapText="1"/>
    </xf>
    <xf numFmtId="0" fontId="35" fillId="0" borderId="44" xfId="0" applyFont="1" applyBorder="1" applyAlignment="1">
      <alignment horizontal="center" vertical="top" wrapText="1"/>
    </xf>
    <xf numFmtId="0" fontId="35" fillId="0" borderId="45" xfId="0" applyFont="1" applyBorder="1" applyAlignment="1">
      <alignment horizontal="center" vertical="top" wrapText="1"/>
    </xf>
    <xf numFmtId="0" fontId="36" fillId="12" borderId="60" xfId="0" applyFont="1" applyFill="1" applyBorder="1" applyAlignment="1">
      <alignment horizontal="center" vertical="top" wrapText="1"/>
    </xf>
    <xf numFmtId="0" fontId="36" fillId="12" borderId="44" xfId="0" applyFont="1" applyFill="1" applyBorder="1" applyAlignment="1">
      <alignment horizontal="center" vertical="top" wrapText="1"/>
    </xf>
    <xf numFmtId="0" fontId="36" fillId="12" borderId="45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36" fillId="12" borderId="48" xfId="0" applyFont="1" applyFill="1" applyBorder="1" applyAlignment="1">
      <alignment horizontal="center" vertical="top" wrapText="1"/>
    </xf>
    <xf numFmtId="0" fontId="36" fillId="12" borderId="58" xfId="0" applyFont="1" applyFill="1" applyBorder="1" applyAlignment="1">
      <alignment horizontal="center" vertical="top" wrapText="1"/>
    </xf>
    <xf numFmtId="0" fontId="36" fillId="12" borderId="61" xfId="0" applyFont="1" applyFill="1" applyBorder="1" applyAlignment="1">
      <alignment horizontal="center" vertical="top" wrapText="1"/>
    </xf>
    <xf numFmtId="0" fontId="20" fillId="9" borderId="0" xfId="0" applyFont="1" applyFill="1" applyBorder="1" applyAlignment="1">
      <alignment horizontal="center" vertical="top" wrapText="1"/>
    </xf>
    <xf numFmtId="0" fontId="35" fillId="0" borderId="60" xfId="0" applyFont="1" applyBorder="1" applyAlignment="1">
      <alignment horizontal="justify" vertical="top" wrapText="1"/>
    </xf>
    <xf numFmtId="0" fontId="35" fillId="0" borderId="45" xfId="0" applyFont="1" applyBorder="1" applyAlignment="1">
      <alignment horizontal="justify" vertical="top" wrapText="1"/>
    </xf>
    <xf numFmtId="4" fontId="35" fillId="0" borderId="60" xfId="0" applyNumberFormat="1" applyFont="1" applyBorder="1" applyAlignment="1">
      <alignment horizontal="right" vertical="top" wrapText="1"/>
    </xf>
    <xf numFmtId="4" fontId="35" fillId="0" borderId="45" xfId="0" applyNumberFormat="1" applyFont="1" applyBorder="1" applyAlignment="1">
      <alignment horizontal="right" vertical="top" wrapText="1"/>
    </xf>
    <xf numFmtId="4" fontId="35" fillId="0" borderId="44" xfId="0" applyNumberFormat="1" applyFont="1" applyBorder="1" applyAlignment="1">
      <alignment horizontal="right" vertical="top" wrapText="1"/>
    </xf>
    <xf numFmtId="4" fontId="44" fillId="0" borderId="60" xfId="0" applyNumberFormat="1" applyFont="1" applyBorder="1" applyAlignment="1">
      <alignment horizontal="right" vertical="top" wrapText="1"/>
    </xf>
    <xf numFmtId="4" fontId="44" fillId="0" borderId="45" xfId="0" applyNumberFormat="1" applyFont="1" applyBorder="1" applyAlignment="1">
      <alignment horizontal="right" vertical="top" wrapText="1"/>
    </xf>
    <xf numFmtId="0" fontId="43" fillId="12" borderId="48" xfId="0" applyFont="1" applyFill="1" applyBorder="1" applyAlignment="1">
      <alignment horizontal="center" vertical="top" wrapText="1"/>
    </xf>
    <xf numFmtId="0" fontId="43" fillId="12" borderId="58" xfId="0" applyFont="1" applyFill="1" applyBorder="1" applyAlignment="1">
      <alignment horizontal="center" vertical="top" wrapText="1"/>
    </xf>
    <xf numFmtId="0" fontId="43" fillId="12" borderId="61" xfId="0" applyFont="1" applyFill="1" applyBorder="1" applyAlignment="1">
      <alignment horizontal="center" vertical="top" wrapText="1"/>
    </xf>
    <xf numFmtId="0" fontId="44" fillId="0" borderId="60" xfId="0" applyFont="1" applyBorder="1" applyAlignment="1">
      <alignment horizontal="center" vertical="top" wrapText="1"/>
    </xf>
    <xf numFmtId="0" fontId="44" fillId="0" borderId="45" xfId="0" applyFont="1" applyBorder="1" applyAlignment="1">
      <alignment horizontal="center" vertical="top" wrapText="1"/>
    </xf>
    <xf numFmtId="0" fontId="35" fillId="0" borderId="64" xfId="0" applyFont="1" applyBorder="1" applyAlignment="1">
      <alignment horizontal="center" vertical="top" wrapText="1"/>
    </xf>
    <xf numFmtId="0" fontId="55" fillId="0" borderId="62" xfId="0" applyFont="1" applyBorder="1" applyAlignment="1">
      <alignment horizontal="center" wrapText="1"/>
    </xf>
    <xf numFmtId="0" fontId="54" fillId="0" borderId="63" xfId="0" applyFont="1" applyBorder="1" applyAlignment="1">
      <alignment horizontal="center" wrapText="1"/>
    </xf>
    <xf numFmtId="0" fontId="54" fillId="0" borderId="42" xfId="0" applyFont="1" applyBorder="1" applyAlignment="1">
      <alignment horizontal="center" wrapText="1"/>
    </xf>
    <xf numFmtId="0" fontId="54" fillId="0" borderId="49" xfId="0" applyFont="1" applyBorder="1" applyAlignment="1">
      <alignment horizontal="center" wrapText="1"/>
    </xf>
    <xf numFmtId="0" fontId="54" fillId="0" borderId="21" xfId="0" applyFont="1" applyBorder="1" applyAlignment="1">
      <alignment horizontal="center" wrapText="1"/>
    </xf>
    <xf numFmtId="0" fontId="54" fillId="0" borderId="8" xfId="0" applyFont="1" applyBorder="1" applyAlignment="1">
      <alignment horizontal="center" wrapText="1"/>
    </xf>
    <xf numFmtId="0" fontId="55" fillId="0" borderId="63" xfId="0" applyFont="1" applyBorder="1" applyAlignment="1">
      <alignment horizontal="center" wrapText="1"/>
    </xf>
    <xf numFmtId="0" fontId="55" fillId="0" borderId="42" xfId="0" applyFont="1" applyBorder="1" applyAlignment="1">
      <alignment horizontal="center" wrapText="1"/>
    </xf>
    <xf numFmtId="0" fontId="55" fillId="0" borderId="50" xfId="0" applyFont="1" applyBorder="1" applyAlignment="1">
      <alignment horizontal="center" wrapText="1"/>
    </xf>
    <xf numFmtId="0" fontId="55" fillId="0" borderId="0" xfId="0" applyFont="1" applyBorder="1" applyAlignment="1">
      <alignment horizontal="center" wrapText="1"/>
    </xf>
    <xf numFmtId="0" fontId="55" fillId="0" borderId="43" xfId="0" applyFont="1" applyBorder="1" applyAlignment="1">
      <alignment horizontal="center" wrapText="1"/>
    </xf>
    <xf numFmtId="0" fontId="55" fillId="0" borderId="49" xfId="0" applyFont="1" applyBorder="1" applyAlignment="1">
      <alignment horizontal="center" wrapText="1"/>
    </xf>
    <xf numFmtId="0" fontId="55" fillId="0" borderId="21" xfId="0" applyFont="1" applyBorder="1" applyAlignment="1">
      <alignment horizontal="center" wrapText="1"/>
    </xf>
    <xf numFmtId="0" fontId="55" fillId="0" borderId="8" xfId="0" applyFont="1" applyBorder="1" applyAlignment="1">
      <alignment horizontal="center" wrapText="1"/>
    </xf>
    <xf numFmtId="0" fontId="36" fillId="4" borderId="60" xfId="0" applyFont="1" applyFill="1" applyBorder="1" applyAlignment="1">
      <alignment horizontal="center" wrapText="1"/>
    </xf>
    <xf numFmtId="0" fontId="36" fillId="4" borderId="45" xfId="0" applyFont="1" applyFill="1" applyBorder="1" applyAlignment="1">
      <alignment horizontal="center" wrapText="1"/>
    </xf>
    <xf numFmtId="0" fontId="35" fillId="0" borderId="48" xfId="0" applyFont="1" applyBorder="1" applyAlignment="1">
      <alignment horizontal="center" wrapText="1"/>
    </xf>
    <xf numFmtId="0" fontId="35" fillId="0" borderId="58" xfId="0" applyFont="1" applyBorder="1" applyAlignment="1">
      <alignment horizontal="center" wrapText="1"/>
    </xf>
    <xf numFmtId="0" fontId="35" fillId="0" borderId="61" xfId="0" applyFont="1" applyBorder="1" applyAlignment="1">
      <alignment horizontal="center" wrapText="1"/>
    </xf>
    <xf numFmtId="0" fontId="54" fillId="0" borderId="48" xfId="0" applyFont="1" applyBorder="1" applyAlignment="1">
      <alignment horizontal="center" wrapText="1"/>
    </xf>
    <xf numFmtId="0" fontId="54" fillId="0" borderId="58" xfId="0" applyFont="1" applyBorder="1" applyAlignment="1">
      <alignment horizontal="center" wrapText="1"/>
    </xf>
    <xf numFmtId="0" fontId="54" fillId="0" borderId="61" xfId="0" applyFont="1" applyBorder="1" applyAlignment="1">
      <alignment horizontal="center" wrapText="1"/>
    </xf>
    <xf numFmtId="0" fontId="35" fillId="0" borderId="48" xfId="0" applyFont="1" applyBorder="1" applyAlignment="1">
      <alignment wrapText="1"/>
    </xf>
    <xf numFmtId="0" fontId="35" fillId="0" borderId="61" xfId="0" applyFont="1" applyBorder="1" applyAlignment="1">
      <alignment wrapText="1"/>
    </xf>
    <xf numFmtId="0" fontId="35" fillId="0" borderId="48" xfId="0" applyFont="1" applyFill="1" applyBorder="1" applyAlignment="1">
      <alignment wrapText="1"/>
    </xf>
    <xf numFmtId="0" fontId="35" fillId="0" borderId="61" xfId="0" applyFont="1" applyFill="1" applyBorder="1" applyAlignment="1">
      <alignment wrapText="1"/>
    </xf>
    <xf numFmtId="0" fontId="36" fillId="4" borderId="62" xfId="0" applyFont="1" applyFill="1" applyBorder="1" applyAlignment="1">
      <alignment horizontal="center" wrapText="1"/>
    </xf>
    <xf numFmtId="0" fontId="36" fillId="4" borderId="42" xfId="0" applyFont="1" applyFill="1" applyBorder="1" applyAlignment="1">
      <alignment horizontal="center" wrapText="1"/>
    </xf>
    <xf numFmtId="0" fontId="36" fillId="4" borderId="49" xfId="0" applyFont="1" applyFill="1" applyBorder="1" applyAlignment="1">
      <alignment horizontal="center" wrapText="1"/>
    </xf>
    <xf numFmtId="0" fontId="36" fillId="4" borderId="8" xfId="0" applyFont="1" applyFill="1" applyBorder="1" applyAlignment="1">
      <alignment horizontal="center" wrapText="1"/>
    </xf>
    <xf numFmtId="0" fontId="36" fillId="4" borderId="48" xfId="0" applyFont="1" applyFill="1" applyBorder="1" applyAlignment="1">
      <alignment horizontal="center" wrapText="1"/>
    </xf>
    <xf numFmtId="0" fontId="36" fillId="4" borderId="58" xfId="0" applyFont="1" applyFill="1" applyBorder="1" applyAlignment="1">
      <alignment horizontal="center" wrapText="1"/>
    </xf>
    <xf numFmtId="0" fontId="36" fillId="4" borderId="61" xfId="0" applyFont="1" applyFill="1" applyBorder="1" applyAlignment="1">
      <alignment horizontal="center" wrapText="1"/>
    </xf>
  </cellXfs>
  <cellStyles count="5">
    <cellStyle name="Moeda" xfId="1" builtinId="4"/>
    <cellStyle name="Normal" xfId="0" builtinId="0"/>
    <cellStyle name="Normal 6" xfId="2"/>
    <cellStyle name="Porcentagem" xfId="3" builtinId="5"/>
    <cellStyle name="Separador de milhares" xfId="4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microsoft.com/office/2006/relationships/vbaProject" Target="vbaProject.bin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103186</xdr:rowOff>
    </xdr:from>
    <xdr:to>
      <xdr:col>7</xdr:col>
      <xdr:colOff>7938</xdr:colOff>
      <xdr:row>25</xdr:row>
      <xdr:rowOff>103186</xdr:rowOff>
    </xdr:to>
    <xdr:sp macro="" textlink="">
      <xdr:nvSpPr>
        <xdr:cNvPr id="7169" name="Rectangle 1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0" y="2905124"/>
          <a:ext cx="9707563" cy="492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Os parâmetros acima foram utilizados para as projeções de receitas e despesas, bem como para os cálculos em valores correntes e constantes, de acordo com sua pertinência, ou não com as origem/espécia/rubrica de receita e/ou grupo de natureza de despesa.</a:t>
          </a:r>
        </a:p>
      </xdr:txBody>
    </xdr:sp>
    <xdr:clientData/>
  </xdr:twoCellAnchor>
  <xdr:twoCellAnchor>
    <xdr:from>
      <xdr:col>6</xdr:col>
      <xdr:colOff>371475</xdr:colOff>
      <xdr:row>26</xdr:row>
      <xdr:rowOff>0</xdr:rowOff>
    </xdr:from>
    <xdr:to>
      <xdr:col>6</xdr:col>
      <xdr:colOff>381000</xdr:colOff>
      <xdr:row>26</xdr:row>
      <xdr:rowOff>0</xdr:rowOff>
    </xdr:to>
    <xdr:sp macro="" textlink="">
      <xdr:nvSpPr>
        <xdr:cNvPr id="8042" name="Line 8"/>
        <xdr:cNvSpPr>
          <a:spLocks noChangeShapeType="1"/>
        </xdr:cNvSpPr>
      </xdr:nvSpPr>
      <xdr:spPr bwMode="auto">
        <a:xfrm flipH="1">
          <a:off x="9067800" y="348615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25</xdr:row>
      <xdr:rowOff>57151</xdr:rowOff>
    </xdr:from>
    <xdr:to>
      <xdr:col>7</xdr:col>
      <xdr:colOff>497416</xdr:colOff>
      <xdr:row>37</xdr:row>
      <xdr:rowOff>105835</xdr:rowOff>
    </xdr:to>
    <xdr:sp macro="" textlink="">
      <xdr:nvSpPr>
        <xdr:cNvPr id="4097" name="Rectangle 1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42874" y="5052484"/>
          <a:ext cx="7477125" cy="195368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Esse demonstrativo tem por objetivo mensurar os tributos que serão objeto de renúncia fiscal de receita, identificando seus valores nos exercícios que compreenderão o triênio a partir da vigência da LDO e estabelecendo ainda as medidas de compensação que serão adotadas, visando a dar cumprimento ao disposto no art. 4º, § 2º, inciso V da LRF.</a:t>
          </a:r>
        </a:p>
        <a:p>
          <a:pPr algn="l" rtl="0"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0"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Conforme os arts. 13, 54 e 55 do Projeto de Lei das Diretrizes Orçamentárias, a estimativa de renúncia de receita deverá estar inserida na metodologia de cálculo da projeção da arrecadação efetiva dos tributos municipais. </a:t>
          </a:r>
        </a:p>
        <a:p>
          <a:pPr algn="l" rtl="0">
            <a:defRPr sz="1000"/>
          </a:pPr>
          <a:endParaRPr lang="pt-BR" sz="1000" b="0" i="0" u="none" strike="noStrike" baseline="0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0"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Dessa forma, fica observado o atendimento do disposto no art. 14, I, da LRF, o qual determina que a renúncia deve ser considerada na estimativa de receita da lei orçamentária e de que não afetará as metas de resultados fiscais. </a:t>
          </a:r>
        </a:p>
        <a:p>
          <a:pPr algn="l" rtl="0">
            <a:defRPr sz="1000"/>
          </a:pPr>
          <a:endParaRPr lang="pt-BR" sz="1000" b="0" i="0" u="none" strike="noStrike" baseline="0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0"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Consequentemente, as renúncias contempladas nesse demonstrativo não precisarão ser compensadas, pois a compensação já estará ocorrendo no âmbito do processo orçamentário de estimativa das respectivas receitas.</a:t>
          </a:r>
        </a:p>
        <a:p>
          <a:pPr algn="l" rtl="0">
            <a:defRPr sz="1000"/>
          </a:pPr>
          <a:endParaRPr lang="pt-B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205316</xdr:colOff>
      <xdr:row>23</xdr:row>
      <xdr:rowOff>62443</xdr:rowOff>
    </xdr:from>
    <xdr:to>
      <xdr:col>6</xdr:col>
      <xdr:colOff>253999</xdr:colOff>
      <xdr:row>39</xdr:row>
      <xdr:rowOff>116419</xdr:rowOff>
    </xdr:to>
    <xdr:sp macro="" textlink="">
      <xdr:nvSpPr>
        <xdr:cNvPr id="12289" name="Rectangle 1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205316" y="4613276"/>
          <a:ext cx="9383183" cy="25939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A Demonstração da margem de expansão das despesas obrigatórias de caráter continuado visa a assegurar que não haverá criação de nova despesa sem a correspondente fonte de financiamento. </a:t>
          </a:r>
        </a:p>
        <a:p>
          <a:pPr algn="l" rtl="0">
            <a:defRPr sz="1000"/>
          </a:pPr>
          <a:endParaRPr lang="pt-BR" sz="1000" b="0" i="0" u="none" strike="noStrike" baseline="0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0"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Em outras palavras, o demonstrativo identifica o aumento permanente de receita para suportar o aumento permanente da despesa de caráter continuado, assim entendida aquela derivada de lei, contrato, ou ato normativo que fixe a obrigatoriedade de execução por um período superior a dois exercícios, cumprindo, dessa forma, a disposição contida no art. 4º, § 2º, inciso V da LRF.</a:t>
          </a:r>
        </a:p>
        <a:p>
          <a:pPr algn="l" rtl="0">
            <a:defRPr sz="1000"/>
          </a:pPr>
          <a:endParaRPr lang="pt-BR" sz="1000" b="0" i="0" u="none" strike="noStrike" baseline="0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0"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Desse modo, para estimar o aumento permanente das receitas em 2019 considerou-se o incremento real, ou seja, a diferença entre os valores estimados a preços constantes das receitas  trbutárias e de transferências correntes, no biênio 2018-2019</a:t>
          </a:r>
        </a:p>
        <a:p>
          <a:pPr algn="l" rtl="0">
            <a:defRPr sz="1000"/>
          </a:pPr>
          <a:endParaRPr lang="pt-BR" sz="1000" b="0" i="0" u="none" strike="noStrike" baseline="0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0"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Na mesma linha, o aumento permandente das despesas de caráter obrigatório que terão impacto em 20198, foi calculado pela diferença a valores constantes, observada no biênio 2018-2019 nos grupos de natureza de despesa "Pessoal" e "Outras Despesas Correntes", chegando-se, assim, ao saldo da margem líquida de expansão.</a:t>
          </a:r>
        </a:p>
        <a:p>
          <a:pPr algn="l" rtl="0"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0"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Caso necessário, a  Margem Líquida de Expansão acima demonstrada, será utilizada, pelo Poder Executivo, como forma de compensação do aumento das despesas obrigatórias de caráter continuado não previstas no orçamento, observado o disposto no art. 17 da LDO.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21</xdr:row>
      <xdr:rowOff>152400</xdr:rowOff>
    </xdr:from>
    <xdr:to>
      <xdr:col>1</xdr:col>
      <xdr:colOff>2657475</xdr:colOff>
      <xdr:row>26</xdr:row>
      <xdr:rowOff>133350</xdr:rowOff>
    </xdr:to>
    <xdr:sp macro="" textlink="">
      <xdr:nvSpPr>
        <xdr:cNvPr id="8193" name="Rectangle 1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352425" y="3324225"/>
          <a:ext cx="5038725" cy="704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pt-BR" sz="12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Declaramos para os devidos fins, que a expansão das despesas obrigatórias de caráter continuado, no exercício financeiro de 2018, adequar-se-ão às receitas do Município.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25</xdr:row>
      <xdr:rowOff>85726</xdr:rowOff>
    </xdr:from>
    <xdr:to>
      <xdr:col>4</xdr:col>
      <xdr:colOff>9525</xdr:colOff>
      <xdr:row>30</xdr:row>
      <xdr:rowOff>133350</xdr:rowOff>
    </xdr:to>
    <xdr:sp macro="" textlink="">
      <xdr:nvSpPr>
        <xdr:cNvPr id="15362" name="Rectangle 2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219075" y="5153026"/>
          <a:ext cx="6934200" cy="85724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pt-B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O Anexo de Riscos fiscais tem por objetivo especificar eventuais riscos que possam impactar negativamente nas contas públicas, indicando de forma preventiva as providências a serem tomadas caso as situaçãoes acima descritas venham a ocorrer, cumprindo desta forma o disposto no art. 4º, § 3º da LRF.</a:t>
          </a:r>
        </a:p>
        <a:p>
          <a:pPr algn="l" rtl="0">
            <a:defRPr sz="1000"/>
          </a:pPr>
          <a:endParaRPr lang="pt-B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25</xdr:row>
      <xdr:rowOff>140759</xdr:rowOff>
    </xdr:from>
    <xdr:to>
      <xdr:col>6</xdr:col>
      <xdr:colOff>40217</xdr:colOff>
      <xdr:row>35</xdr:row>
      <xdr:rowOff>113503</xdr:rowOff>
    </xdr:to>
    <xdr:sp macro="" textlink="">
      <xdr:nvSpPr>
        <xdr:cNvPr id="9327" name="Rectangle 6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23825" y="5263092"/>
          <a:ext cx="8562975" cy="145441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/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Dívida Pública Consolidada – É o montante total apurado:</a:t>
          </a:r>
          <a:endParaRPr lang="pt-BR" sz="1000" b="0" i="0" u="none" strike="noStrike" baseline="0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0"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- das obrigações financeiras do Município, inclusive as decorrentes de emissão de títulos, assumidas em virtude de leis, contratos, convênios ou tratados;</a:t>
          </a:r>
        </a:p>
        <a:p>
          <a:pPr algn="l" rtl="0"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- das obrigações financeiras doMunicípio, assumidas em virtude da realização de operações de crédito para amortização em prazo superior a doze meses ou que, embora de prazo inferior a doze meses, tenham constado como receitas no orçamento;</a:t>
          </a:r>
        </a:p>
        <a:p>
          <a:pPr algn="l" rtl="0"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- dos precatórios judiciais emitidos a partir de 5 de maio de 2000 e não pagos durante a execução do orçamento em que houverem sido incluídos.</a:t>
          </a:r>
        </a:p>
        <a:p>
          <a:pPr algn="l" rtl="0">
            <a:defRPr sz="1000"/>
          </a:pPr>
          <a:endParaRPr lang="pt-BR" sz="1000" b="0" i="0" u="none" strike="noStrike" baseline="0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Dívida Consolidada Líquida – DCL –</a:t>
          </a:r>
          <a:r>
            <a:rPr lang="pt-B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Corresponde à dívida pública consolidada menos as deduções, que compreendem o ativo disponível e os haveres financeiros, líquidos dos Restos a Pagar Processados.</a:t>
          </a: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23</xdr:row>
      <xdr:rowOff>19050</xdr:rowOff>
    </xdr:from>
    <xdr:to>
      <xdr:col>12</xdr:col>
      <xdr:colOff>457200</xdr:colOff>
      <xdr:row>80</xdr:row>
      <xdr:rowOff>152400</xdr:rowOff>
    </xdr:to>
    <xdr:sp macro="" textlink="">
      <xdr:nvSpPr>
        <xdr:cNvPr id="1156" name="Rectangle 3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247650" y="3943350"/>
          <a:ext cx="11249025" cy="9363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O Demonstrativo de Metas Anuais objetiva estabelecer as metas para o triênio compreendendo o ano de vigência da LDO e os dois subsequentes, abrangendo a Receita e Despesa Total, Receitas Não Financeiras, Despesas Não Financeiras, Resultado Primário, Resultado Nominal e Dívida Pública, visando atender a disposição contida no art. 4º, § 1º da LRF.</a:t>
          </a:r>
        </a:p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Para melhor entendimento, cabem aqui os seguintes conceitos:</a:t>
          </a:r>
        </a:p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 – as receitas primárias correspondem às receitas fiscais líquidas, resultantes do somatório das receitas correntes e de capital, excluídas as receitas de aplicações financeiras (juros de títulos de renda, remuneração de depósitos e outras receitas de valores mobiliários), operações de crédito, amortização de empréstimos e alienação de investimentos permenentes e temporários;</a:t>
          </a:r>
        </a:p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 – as despesas primárias correspondem ao total da despesa orçamentária deduzidas as despesas com juros e amortização da dívida, aquisição de títulos de capital integralizado e as despesas com concessão de empréstimos com retorno garantido. </a:t>
          </a:r>
        </a:p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 – o resultado primário ACIMA DA LINHA corresponde à diferença entre as receitas primárias e despesas primárias evidenciando o esforço fiscal do Município;</a:t>
          </a:r>
        </a:p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4 – o resultado nominal calculado pelo critério ACIMA DA LINHA foi obtido a partir do resultado primário somado ao resultado da comperação entre  os juros ativos e passivos, representado a diferença entre o saldo previsto da dívida fiscal líquida em 31 de dezembro de determinado ano em relação ao apurado em 31 de dezembro do ano anterior; </a:t>
          </a:r>
        </a:p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5 – a dívida pública consolidada é o montante apurado das obrigações financeiras do ente da Federação, inclusive as decorrentes de emissão de títulos, assumidas em virtude de leis, contratos, convênios ou tratados; as assumidas em virtude da realização de operações de crédito para amortização em prazo superior a doze meses ou que, embora de prazo inferior a doze meses, tenham constado como receitas no orçamento; dos precatórios judiciais emitidos a partir de 5 de maio de 2000 e não pagos durante a execução do orçamento em que houverem sido incluídos;</a:t>
          </a:r>
        </a:p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6 – a dívida Consolidada Líquida – DCL - corresponde à dívida pública consolidada, deduzidos os valores que compreendem o ativo disponível e os haveres financeiros, líquidos dos Restos a Pagar Processados.</a:t>
          </a:r>
        </a:p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 </a:t>
          </a:r>
        </a:p>
        <a:p>
          <a:pPr algn="l" rtl="0">
            <a:defRPr sz="1000"/>
          </a:pPr>
          <a:r>
            <a:rPr lang="pt-BR" sz="11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Premissas e Metodologia Utilizadas:</a:t>
          </a:r>
          <a:endParaRPr lang="pt-BR" sz="1100" b="0" i="0" u="none" strike="noStrike" baseline="0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0">
            <a:defRPr sz="1000"/>
          </a:pPr>
          <a:r>
            <a:rPr lang="pt-BR" sz="11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1 -</a:t>
          </a:r>
          <a:r>
            <a:rPr lang="pt-BR" sz="11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Os parâmetros macroeconômicos utilizados na elaboração das estimativas constantes no Anexo de Metas Fiscais são relacionados na </a:t>
          </a:r>
          <a:r>
            <a:rPr lang="pt-BR" sz="11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Tabela 01.</a:t>
          </a:r>
          <a:r>
            <a:rPr lang="pt-BR" sz="11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Os números estão apresentados de duas formas. Em moeda corrente e em valores constantes (sem inflação). Esses indicadores foram utilizados na composição da estimativa de receita que considerou a média de arrecadação, em cada fonte, tomando por base as receitas arrecadadas nos últimos três exercícios (2015, 2016 e 2017) e os valores reestimados para o exercício atual (2018), além das premissas consideradas como verdadeiras e relacionadas, por exemplo, ao índice de inflação, crescimento do PIB, atualização da planta de valores do IPTU, ampliação do perímetro urbano da cidade, políticas de combate à evasão e à sonegação fiscal, comportamento das receitas oriundas de transferências da União e do Estado, dentre outros.</a:t>
          </a:r>
        </a:p>
        <a:p>
          <a:pPr algn="l" rtl="0">
            <a:defRPr sz="1000"/>
          </a:pPr>
          <a:r>
            <a:rPr lang="pt-BR" sz="11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2 -</a:t>
          </a:r>
          <a:r>
            <a:rPr lang="pt-BR" sz="11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Em relação às despesas correntes, foram considerados os parâmetros de inflação, crescimento vegetativo e aumento real, quando cabível, das despesas de custeios.  Em relação aos investimentos, além da inflação, considerou-se a estimativa de crescimento real dessas despesas em nível que viabilize a sua expansão a fim de garantir, precipuamente, a conclusão dos projetos em andamento demonstrados no </a:t>
          </a:r>
          <a:r>
            <a:rPr lang="pt-BR" sz="11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Anexo IV.</a:t>
          </a:r>
          <a:r>
            <a:rPr lang="pt-BR" sz="11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Asseguraram-se, ainda, os recursos para pagamento das obrigações decorrentes de juros e amortização da dívida pública.</a:t>
          </a:r>
        </a:p>
        <a:p>
          <a:pPr algn="l" rtl="0">
            <a:defRPr sz="1000"/>
          </a:pPr>
          <a:r>
            <a:rPr lang="pt-BR" sz="11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 –</a:t>
          </a:r>
          <a:r>
            <a:rPr lang="pt-BR" sz="11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No tocante às despesas com pessoal, em específico, foi considerado o provável efeito da revisão geral anual prevista na Constituição da República, o crescimento vegetativo da folha salarial e eventual aumento acima dos níveis inflacionários.</a:t>
          </a:r>
        </a:p>
        <a:p>
          <a:pPr algn="l" rtl="0">
            <a:defRPr sz="1000"/>
          </a:pPr>
          <a:r>
            <a:rPr lang="pt-BR" sz="11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4 -</a:t>
          </a:r>
          <a:r>
            <a:rPr lang="pt-BR" sz="11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Considera-se o PIB e o IPCA como as principais variáveis para explicar o crescimento nominal das receitas, visto que boa parte das receitas tributárias e não tributárias, bem como as transferências constitucionais e legais acompanham o ritmo das atividades econômicas de âmbito nacional. Assim, para os exercícios de 2019, 2020 e 2021, considerou-se um crescimento do Produto Interno Bruto nacional de 3,01%, 2,68% e 2,64% e das taxas de inflação (IPCA), de 4,07 %,  4,02% e 3,94 %, respectivamente, cujas projeções decorrem do sistema de expectativa de mercado, segundo informações do sítio do Banco Central do Brasil.</a:t>
          </a:r>
        </a:p>
        <a:p>
          <a:pPr algn="l" rtl="0">
            <a:defRPr sz="1000"/>
          </a:pPr>
          <a:r>
            <a:rPr lang="pt-BR" sz="11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5 -</a:t>
          </a:r>
          <a:r>
            <a:rPr lang="pt-BR" sz="11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Outro ponto importante a ser destacado é que a receita do Município, conforme estabelece o § 3º, do art. 1º da Lei Complementar nº 101/00, compreende as receitas de todos os órgãos da Administração Pública Municipal, inclusive as receitas intraorçamentárias.</a:t>
          </a:r>
        </a:p>
        <a:p>
          <a:pPr algn="l" rtl="0">
            <a:defRPr sz="1000"/>
          </a:pPr>
          <a:r>
            <a:rPr lang="pt-BR" sz="11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6 -</a:t>
          </a:r>
          <a:r>
            <a:rPr lang="pt-BR" sz="11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Em relação ao cálculo do Resultado Primário e do Resultado Nominal, considerou a metodologia estabelecida na Portaria STN nº 495/2017 e suas alterações. Os resultados primários previstos para os três exercícios são considerados suficientes para manutenção do equilíbrio fiscal. Cabe ponderar que, nos termos do art. 2º da LDO, o resultado primário poderá ser revisto por ocasião da elaboração da Lei Orçamentária Anual ou durante o exercício de 2019. O resultado nominal reflete a variação do endividamento fiscal líquido entre as datas referidas.</a:t>
          </a:r>
        </a:p>
        <a:p>
          <a:pPr algn="l" rtl="0">
            <a:defRPr sz="1000"/>
          </a:pPr>
          <a:r>
            <a:rPr lang="pt-BR" sz="11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7 -</a:t>
          </a:r>
          <a:r>
            <a:rPr lang="pt-BR" sz="11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Na estimativa do montante da dívida consolidada para 2019, 2020 e 2021, utilizou-se, como parâmetros a previsão da média anual para a taxa de juros SELIC,  de 7,31%,  8,09% e  8,08%, segundo informações do sítio do Banco Central do Brasil.</a:t>
          </a:r>
        </a:p>
        <a:p>
          <a:pPr algn="l" rtl="0">
            <a:defRPr sz="1000"/>
          </a:pPr>
          <a:r>
            <a:rPr lang="pt-BR" sz="11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8 -</a:t>
          </a:r>
          <a:r>
            <a:rPr lang="pt-BR" sz="11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Já na apuração do montante da dívida líquida, os valores das Disponibilidades Financeiras foram calculados levando-se em consideração a estimativa da posição em 31/12/2018, projetando-se os valores futuros com base nos percentuais médios dos valores realizados no ano anterior.</a:t>
          </a:r>
        </a:p>
        <a:p>
          <a:pPr algn="l" rtl="0">
            <a:defRPr sz="1000"/>
          </a:pPr>
          <a:r>
            <a:rPr lang="pt-BR" sz="11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9 -</a:t>
          </a:r>
          <a:r>
            <a:rPr lang="pt-BR" sz="11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Isso posto, podemos elencar, a partir da leitura das projeções estabelecidas para o ano de referência da LDO (2019), os números mais representativos no contexto das projeções:</a:t>
          </a:r>
        </a:p>
        <a:p>
          <a:pPr algn="l" rtl="0">
            <a:defRPr sz="1000"/>
          </a:pPr>
          <a:r>
            <a:rPr lang="pt-BR" sz="11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9.1 -</a:t>
          </a:r>
          <a:r>
            <a:rPr lang="pt-BR" sz="11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A receita total estimada para o exercício de 2019, consideradas todas as fontes de recursos é de R$  </a:t>
          </a:r>
          <a:r>
            <a:rPr lang="pt-BR" sz="10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         85.289.822,27 </a:t>
          </a:r>
          <a:r>
            <a:rPr lang="pt-BR" sz="11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 preços correntes que, deduzidas das receitas financeiras, representadas pelos Rendimentos das Aplicações Financeiras, das resultantes de Operações de Crédito, das Alienações de Investimentos e das resultantes de Amortização de Empréstimos Concedidos resultam numa Receita Primária de R$ </a:t>
          </a:r>
          <a:r>
            <a:rPr lang="pt-BR" sz="10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 77.382.606,48. </a:t>
          </a:r>
          <a:r>
            <a:rPr lang="pt-BR" sz="11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0">
            <a:defRPr sz="1000"/>
          </a:pPr>
          <a:r>
            <a:rPr lang="pt-BR" sz="11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9.2 -</a:t>
          </a:r>
          <a:r>
            <a:rPr lang="pt-BR" sz="11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As despesas do Município foram programadas segundo o comportamento previsto da receita, sendo que o maior objetivo é manter, ou ainda, ampliar a capacidade própria de investimentos, sem comprometer o equilíbrio financeiro. Assim, consideradas todas as fontes de recursos, a despesa total está prevista em R$ </a:t>
          </a:r>
          <a:r>
            <a:rPr lang="pt-BR" sz="1000" b="1" i="0" u="none" strike="noStrike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pt-BR" sz="10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95.254.389,86 </a:t>
          </a:r>
          <a:r>
            <a:rPr lang="pt-BR" sz="11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. Deduzindo-se as despesas financeiras com juros e encargos da dívida, estimadas em R$ 201408,90 e a Amortização da Dívida Publica, estimada em R$ 2.446.584,92, tem-se que as despesas primárias para 2019 foram previstas em R$ </a:t>
          </a:r>
          <a:r>
            <a:rPr lang="pt-BR" sz="10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92.606.396,04.</a:t>
          </a:r>
          <a:endParaRPr lang="pt-BR" sz="1100" b="0" i="0" u="none" strike="noStrike" baseline="0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0">
            <a:defRPr sz="1000"/>
          </a:pPr>
          <a:r>
            <a:rPr lang="pt-BR" sz="11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9.3 -</a:t>
          </a:r>
          <a:r>
            <a:rPr lang="pt-BR" sz="11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Cotejando-se o valor previsto para as receitas e despesas primárias em valores correntes, chega-se à meta de resultado primário de 2019 que foi inicialmente prevista em R$ </a:t>
          </a:r>
          <a:r>
            <a:rPr lang="pt-BR" sz="10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-   15.223.789,56 </a:t>
          </a:r>
          <a:r>
            <a:rPr lang="pt-BR" sz="11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 qual entendemos como necessária e suficiente para preservar o equilíbrio nas contas públicas. No entanto, ressaltamos que, a depender do comportamento das variáveis macroeconômicas, ou na hipótese de frustração de arrecadação, a meta poderá ser alterada, conforme expressa previsão do art. 2º da LDO. O detalhamento do cálculo do Resultado Primário e nominal pelo Critério </a:t>
          </a:r>
          <a:r>
            <a:rPr lang="pt-BR" sz="11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ACIMA DA LINHA é</a:t>
          </a:r>
          <a:r>
            <a:rPr lang="pt-BR" sz="11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evidenciado na </a:t>
          </a:r>
          <a:r>
            <a:rPr lang="pt-BR" sz="11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Tabela 02.</a:t>
          </a:r>
          <a:endParaRPr lang="pt-BR" sz="1100" b="0" i="0" u="none" strike="noStrike" baseline="0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0">
            <a:defRPr sz="1000"/>
          </a:pPr>
          <a:r>
            <a:rPr lang="pt-BR" sz="11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10 -</a:t>
          </a:r>
          <a:r>
            <a:rPr lang="pt-BR" sz="11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Em relação ao estoque da dívida, esse corresponde à posição em dezembro de cada exercício, considerando a previsão das amortizações e das liberações a serem realizadas no respectivo período, estando os valores evidenciados na </a:t>
          </a:r>
          <a:r>
            <a:rPr lang="pt-BR" sz="11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Tabela 03.</a:t>
          </a:r>
          <a:endParaRPr lang="pt-BR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 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17</xdr:row>
      <xdr:rowOff>152400</xdr:rowOff>
    </xdr:from>
    <xdr:to>
      <xdr:col>8</xdr:col>
      <xdr:colOff>532342</xdr:colOff>
      <xdr:row>21</xdr:row>
      <xdr:rowOff>148167</xdr:rowOff>
    </xdr:to>
    <xdr:sp macro="" textlink="">
      <xdr:nvSpPr>
        <xdr:cNvPr id="5121" name="Rectangle 1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200025" y="3412067"/>
          <a:ext cx="8629650" cy="726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1000"/>
            </a:lnSpc>
            <a:defRPr sz="1000"/>
          </a:pPr>
          <a:endParaRPr lang="pt-B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Este demonstrativo foi elaborado pelo Poder Executivo Municipal para fins de dar maior transparência à meta de Resultado Primário, possibilitando o acompanhamento individualizado do resultado primário do Tesouro Municipal e do  Regime Próprio de Previdência, bem como auxiliar na avaliação do cumprimento das metas fiscais. A metodologia e os conceitos são idênticos aos utilizados para a elaboração do anexo de metas fiscais  (consolidado).</a:t>
          </a:r>
        </a:p>
        <a:p>
          <a:pPr algn="l" rtl="0">
            <a:lnSpc>
              <a:spcPts val="1000"/>
            </a:lnSpc>
            <a:defRPr sz="1000"/>
          </a:pPr>
          <a:endParaRPr lang="pt-B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pt-B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900"/>
            </a:lnSpc>
            <a:defRPr sz="1000"/>
          </a:pPr>
          <a:endParaRPr lang="pt-B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pt-B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900"/>
            </a:lnSpc>
            <a:defRPr sz="1000"/>
          </a:pPr>
          <a:endParaRPr lang="pt-B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19</xdr:row>
      <xdr:rowOff>152401</xdr:rowOff>
    </xdr:from>
    <xdr:to>
      <xdr:col>9</xdr:col>
      <xdr:colOff>238125</xdr:colOff>
      <xdr:row>46</xdr:row>
      <xdr:rowOff>76200</xdr:rowOff>
    </xdr:to>
    <xdr:sp macro="" textlink="">
      <xdr:nvSpPr>
        <xdr:cNvPr id="2178" name="Rectangle 1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85725" y="3733801"/>
          <a:ext cx="8343900" cy="429577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O objetivo deste demonstrativo é estabelecer uma comparação entre as metas fixadas e o resultado obtido no exercício anterior ao da edição da LDO (2017), incluindo análise dos fatores determinantes para o alcance ou não dos valores estabelecidos como metas, visando a atender o disposto no art. 4º, § 2º, inciso I da LRF.</a:t>
          </a:r>
        </a:p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 </a:t>
          </a:r>
        </a:p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Assim, conforme demonstrado em audiência pública de avaliação das metas fiscais relativas ao terceiro quadrimestre do exercício financeiro de 2017 (art. 9º, § 4º da LRF), o resultado primário, principal indicador de sustentabilidade fiscal do setor público, ficou em R$ </a:t>
          </a:r>
          <a:r>
            <a:rPr lang="pt-BR" sz="11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10.184.011,66</a:t>
          </a:r>
          <a:r>
            <a:rPr lang="pt-BR" sz="11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, valor 13,60% superior à meta estabelecida, que era de R$ </a:t>
          </a:r>
          <a:r>
            <a:rPr lang="pt-BR" sz="11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8.964.862,25 </a:t>
          </a:r>
          <a:r>
            <a:rPr lang="pt-BR" sz="11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. O desempenho verificado demonstra que o ingresso das receitas primárias (não financeiras)  foi capaz de suportar o total das despesas primárias (não financeiras) do exercício.</a:t>
          </a:r>
        </a:p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  </a:t>
          </a:r>
        </a:p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Em parte, esse resultado é em decorrência do desempenho favorável apresentado pela receita, tendo sido fortemente condicionado pelo comportamento das receitas correntes, que apresentaram um incremento de em relação ao valor consignado no orçamento. Destaca-se no exercício de 2017 o desempenho dos grupos de receita tributária, patrimonial e de transferências correntes, que superaram a expectativa.</a:t>
          </a:r>
        </a:p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 </a:t>
          </a:r>
        </a:p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 </a:t>
          </a:r>
        </a:p>
        <a:p>
          <a:pPr algn="l" rtl="0">
            <a:defRPr sz="1000"/>
          </a:pPr>
          <a:endParaRPr lang="pt-B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32</xdr:row>
      <xdr:rowOff>19050</xdr:rowOff>
    </xdr:from>
    <xdr:to>
      <xdr:col>11</xdr:col>
      <xdr:colOff>304800</xdr:colOff>
      <xdr:row>42</xdr:row>
      <xdr:rowOff>123825</xdr:rowOff>
    </xdr:to>
    <xdr:sp macro="" textlink="">
      <xdr:nvSpPr>
        <xdr:cNvPr id="10241" name="Rectangle 1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266700" y="5429250"/>
          <a:ext cx="10106025" cy="1724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Este demonstrativo tem por objetivo avaliar as metas previstas para o exercício da LDO (2018), em comparação com as estabelecidas para os três exercícios anteriores  (2015, 2016 e 2017), bem como para os dois seguintes (2019 e 2020), referentes à Receita Total, Receitas Não Financeiras, Despesas Não Financeiras, Resultado Primário, Resultado Nominal, Dívida Pública Consolidada e Dívida Consolidada Líquida, cumprindo, assim,  a disposição contida no art. 4º, § 2º, inciso II, da LRF.</a:t>
          </a:r>
        </a:p>
        <a:p>
          <a:pPr algn="l" rtl="0">
            <a:defRPr sz="1000"/>
          </a:pPr>
          <a:endParaRPr lang="pt-BR" sz="1000" b="0" i="0" u="none" strike="noStrike" baseline="0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0"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Os valores relativos às previsões de Receitas, Despesas e Resultado Primário de 2015, 2016 e 2017 foram atualizados pelas respectivas Leis Orçamentárias Anuais. Já os valores da previsão do Resultado Nominal, Dívida Consolidada e Dívida Consolidada Líquida, foram extraídos dos anexos de metas fiscais das respectivas LDO.</a:t>
          </a:r>
        </a:p>
        <a:p>
          <a:pPr algn="l" rtl="0">
            <a:defRPr sz="1000"/>
          </a:pPr>
          <a:endParaRPr lang="pt-BR" sz="1000" b="0" i="0" u="none" strike="noStrike" baseline="0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0"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Já em relação às previsões para os exercícios de 2018, 2019 e 2020, os valores, a metodologia, as premissas utilizadas e a respectiva memória de cálculo são as mesmas utilizadas para o estabelecimento das metas explicitadas no Demonstrativo de Metas Anuais, referido no art. 2º, inciso I, do Projeto de Lei de LDO, evidenciando, assim, a sua consistência.</a:t>
          </a:r>
        </a:p>
        <a:p>
          <a:pPr algn="l" rtl="0">
            <a:defRPr sz="1000"/>
          </a:pPr>
          <a:endParaRPr lang="pt-BR" sz="1000" b="0" i="0" u="none" strike="noStrike" baseline="0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30</xdr:row>
      <xdr:rowOff>1</xdr:rowOff>
    </xdr:from>
    <xdr:to>
      <xdr:col>6</xdr:col>
      <xdr:colOff>666750</xdr:colOff>
      <xdr:row>40</xdr:row>
      <xdr:rowOff>38101</xdr:rowOff>
    </xdr:to>
    <xdr:sp macro="" textlink="">
      <xdr:nvSpPr>
        <xdr:cNvPr id="3073" name="Rectangle 1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257175" y="6457951"/>
          <a:ext cx="6800850" cy="1657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O presente demonstrativo visa a demonstrar a evolução do Patrimônio Líquido nos três exercícios anteriores ao da edição da LDO (2015, 2016 e 2017), cumprindo, dessa forma, o disposto no art. 4º, § 2º, inciso III, da LRF.</a:t>
          </a:r>
        </a:p>
        <a:p>
          <a:pPr algn="l" rtl="0">
            <a:defRPr sz="1000"/>
          </a:pPr>
          <a:endParaRPr lang="pt-BR" sz="1000" b="0" i="0" u="none" strike="noStrike" baseline="0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0"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Nesse sentido, é preciso enfatizar que o Município segue as normas da Lei 4.320/64, não apresentando no seu balanço as nomenclaturas previstas na Lei 6.404/76. Assim, em vez de "Resultado Acumulado", ou "Lucros ou Prejupizos Acumulados" o Município utiliza a nomenclatura de "Superávit ou Déficit do Exercício".</a:t>
          </a:r>
        </a:p>
        <a:p>
          <a:pPr algn="l" rtl="0">
            <a:defRPr sz="1000"/>
          </a:pPr>
          <a:endParaRPr lang="pt-BR" sz="1000" b="0" i="0" u="none" strike="noStrike" baseline="0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0"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O Sistema de Previdência, por força da Lei Municipal, está sobre a gestão do </a:t>
          </a:r>
          <a:r>
            <a:rPr lang="pt-BR" sz="1000" b="0" i="0" baseline="0">
              <a:latin typeface="Times New Roman" pitchFamily="18" charset="0"/>
              <a:ea typeface="+mn-ea"/>
              <a:cs typeface="Times New Roman" pitchFamily="18" charset="0"/>
            </a:rPr>
            <a:t>Fundo de Previdência Social de Portão </a:t>
          </a:r>
          <a:r>
            <a:rPr lang="pt-B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sendo que seus registros contábeis estão em conformidade com as Normas do Ministério da Previdência Social e apartados das demais contas do Município.</a:t>
          </a:r>
        </a:p>
        <a:p>
          <a:pPr algn="l" rtl="0">
            <a:defRPr sz="1000"/>
          </a:pPr>
          <a:endParaRPr lang="pt-BR" sz="1000" b="0" i="0" u="none" strike="noStrike" baseline="0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27</xdr:row>
      <xdr:rowOff>161926</xdr:rowOff>
    </xdr:from>
    <xdr:to>
      <xdr:col>3</xdr:col>
      <xdr:colOff>990600</xdr:colOff>
      <xdr:row>34</xdr:row>
      <xdr:rowOff>95250</xdr:rowOff>
    </xdr:to>
    <xdr:sp macro="" textlink="">
      <xdr:nvSpPr>
        <xdr:cNvPr id="11265" name="Rectangle 1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80975" y="5876926"/>
          <a:ext cx="7043208" cy="119274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O demonstrativo acima tem por objetivo destacar as origens e as aplicações dos recursos obtidos, pelo Município, com a alienação de ativos, ocorridos nos 3 exercícios anteriores ao da edição da LDO  (2014,  2015 e 2016). </a:t>
          </a:r>
        </a:p>
        <a:p>
          <a:pPr algn="l" rtl="0">
            <a:defRPr sz="1000"/>
          </a:pPr>
          <a:endParaRPr lang="pt-BR" sz="1000" b="0" i="0" u="none" strike="noStrike" baseline="0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0"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Os dados apresentados permitem afirmar que o Município tem aplicado corretamente os recursos obtidos, na forma prescrita pelo art. 44 da Lei de Responsabilidade Fiscal que prescreve que "é vedada a aplicação da receita de capital derivada da alienação de bens e direitos que integram o patrimônio público para o financiamento de despesa corrente, salvo se destinada por lei aos regimes de previdência, geral e próprio dos servidores públicos."</a:t>
          </a:r>
        </a:p>
        <a:p>
          <a:pPr algn="l" rtl="0">
            <a:defRPr sz="1000"/>
          </a:pPr>
          <a:endParaRPr lang="pt-B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144</xdr:row>
      <xdr:rowOff>123825</xdr:rowOff>
    </xdr:from>
    <xdr:to>
      <xdr:col>8</xdr:col>
      <xdr:colOff>342900</xdr:colOff>
      <xdr:row>160</xdr:row>
      <xdr:rowOff>133350</xdr:rowOff>
    </xdr:to>
    <xdr:sp macro="" textlink="">
      <xdr:nvSpPr>
        <xdr:cNvPr id="14337" name="Rectangle 1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80975" y="20697825"/>
          <a:ext cx="7705725" cy="2295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Este demonstrativo, visa a atender o estabelecido no art. 4°, § 2°, inciso IV, alínea “a”, da Lei de Responsabilidade Fiscal – LRF, o qual determina que o Anexo de Metas Fiscais conterá a avaliação da situação financeira e atuarial do Regime Próprio de Previdência dos Servidores – RPPS.</a:t>
          </a:r>
        </a:p>
        <a:p>
          <a:pPr algn="l" rtl="0">
            <a:defRPr sz="1000"/>
          </a:pPr>
          <a:endParaRPr lang="pt-BR" sz="1000" b="0" i="0" u="none" strike="noStrike" baseline="0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0"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Os dados acima apresentados tem como base o Anexo 4 – Demonstrativo das Receitas e Despesas Previdenciárias do Regime Próprio de Previdência dos Servidores, publicado no Relatório Resumido de Execução Orçamentária – RREO do último bimestre dos exercícios financeiros de 2015, 2016 e 2017, respectivamente.</a:t>
          </a:r>
        </a:p>
        <a:p>
          <a:pPr algn="l" rtl="0">
            <a:defRPr sz="1000"/>
          </a:pPr>
          <a:endParaRPr lang="pt-BR" sz="1000" b="0" i="0" u="none" strike="noStrike" baseline="0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0"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Já os resultados da avaliação atuarial foram apresentados conforme o Anexo 10 – Demonstrativo da Projeção Atuarial do Regime Próprio dos Servidores, publicado no RREO do último bimestre dos exercícios de 2017. </a:t>
          </a:r>
        </a:p>
        <a:p>
          <a:pPr algn="l" rtl="0">
            <a:defRPr sz="1000"/>
          </a:pPr>
          <a:endParaRPr lang="pt-BR" sz="1000" b="0" i="0" u="none" strike="noStrike" baseline="0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0"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Os valores informados na linha 'Bens e Direitos do RPPS", correspondem ao saldo das suas disponibilidades financeiras e investimentos, a foram obtidos a partir do Demonstrativo da Disponibilidade de Caixa, publicado no Relatório de Gestão Fiscal – RGF.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7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8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Documento_do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1:J26"/>
  <sheetViews>
    <sheetView showGridLines="0" topLeftCell="A7" zoomScale="120" zoomScaleSheetLayoutView="70" workbookViewId="0">
      <selection activeCell="C29" sqref="C29"/>
    </sheetView>
  </sheetViews>
  <sheetFormatPr defaultColWidth="8.85546875" defaultRowHeight="12"/>
  <cols>
    <col min="1" max="1" width="53.5703125" style="25" customWidth="1"/>
    <col min="2" max="2" width="16.85546875" style="25" customWidth="1"/>
    <col min="3" max="3" width="16.5703125" style="25" customWidth="1"/>
    <col min="4" max="4" width="13" style="25" customWidth="1"/>
    <col min="5" max="5" width="14.5703125" style="25" customWidth="1"/>
    <col min="6" max="6" width="15.85546875" style="25" customWidth="1"/>
    <col min="7" max="7" width="15.140625" style="25" customWidth="1"/>
    <col min="8" max="16384" width="8.85546875" style="25"/>
  </cols>
  <sheetData>
    <row r="1" spans="1:10" hidden="1"/>
    <row r="2" spans="1:10" hidden="1"/>
    <row r="3" spans="1:10" hidden="1"/>
    <row r="4" spans="1:10" hidden="1"/>
    <row r="5" spans="1:10" hidden="1"/>
    <row r="6" spans="1:10" ht="16.149999999999999" hidden="1" customHeight="1"/>
    <row r="7" spans="1:10">
      <c r="A7" s="542" t="s">
        <v>630</v>
      </c>
      <c r="B7" s="543"/>
      <c r="C7" s="543"/>
      <c r="D7" s="543"/>
      <c r="E7" s="543"/>
      <c r="F7" s="543"/>
      <c r="G7" s="543"/>
      <c r="H7" s="543"/>
      <c r="I7" s="543"/>
      <c r="J7" s="544"/>
    </row>
    <row r="8" spans="1:10">
      <c r="A8" s="545" t="s">
        <v>504</v>
      </c>
      <c r="B8" s="543"/>
      <c r="C8" s="543"/>
      <c r="D8" s="543"/>
      <c r="E8" s="543"/>
      <c r="F8" s="543"/>
      <c r="G8" s="543"/>
      <c r="H8" s="543"/>
      <c r="I8" s="543"/>
      <c r="J8" s="544"/>
    </row>
    <row r="9" spans="1:10" ht="21" customHeight="1">
      <c r="A9" s="546" t="s">
        <v>155</v>
      </c>
      <c r="B9" s="547"/>
      <c r="C9" s="547"/>
      <c r="D9" s="547"/>
      <c r="E9" s="547"/>
      <c r="F9" s="547"/>
      <c r="G9" s="547"/>
      <c r="H9" s="548"/>
      <c r="I9" s="548"/>
      <c r="J9" s="549"/>
    </row>
    <row r="10" spans="1:10" ht="25.5" customHeight="1">
      <c r="A10" s="281" t="s">
        <v>505</v>
      </c>
      <c r="B10" s="281">
        <v>2016</v>
      </c>
      <c r="C10" s="281">
        <f>B10+1</f>
        <v>2017</v>
      </c>
      <c r="D10" s="281">
        <f>C10+1</f>
        <v>2018</v>
      </c>
      <c r="E10" s="281">
        <f>D10+1</f>
        <v>2019</v>
      </c>
      <c r="F10" s="281">
        <f>E10+1</f>
        <v>2020</v>
      </c>
      <c r="G10" s="281">
        <f>F10+1</f>
        <v>2021</v>
      </c>
      <c r="H10" s="282"/>
      <c r="I10" s="282"/>
      <c r="J10" s="282"/>
    </row>
    <row r="11" spans="1:10" ht="12.75">
      <c r="A11" s="283" t="s">
        <v>132</v>
      </c>
      <c r="B11" s="284">
        <v>6.2899999999999998E-2</v>
      </c>
      <c r="C11" s="285">
        <v>3.9199999999999999E-2</v>
      </c>
      <c r="D11" s="285">
        <v>3.5799999999999998E-2</v>
      </c>
      <c r="E11" s="286">
        <v>4.07E-2</v>
      </c>
      <c r="F11" s="286">
        <v>4.02E-2</v>
      </c>
      <c r="G11" s="286">
        <v>3.9399999999999998E-2</v>
      </c>
      <c r="H11" s="287"/>
      <c r="I11" s="287"/>
      <c r="J11" s="287"/>
    </row>
    <row r="12" spans="1:10" ht="12.75">
      <c r="A12" s="283" t="s">
        <v>133</v>
      </c>
      <c r="B12" s="284">
        <v>-3.5999999999999997E-2</v>
      </c>
      <c r="C12" s="285">
        <v>5.3E-3</v>
      </c>
      <c r="D12" s="285">
        <v>0</v>
      </c>
      <c r="E12" s="286">
        <v>3.0099999999999998E-2</v>
      </c>
      <c r="F12" s="286">
        <v>2.6800000000000001E-2</v>
      </c>
      <c r="G12" s="286">
        <v>2.64E-2</v>
      </c>
      <c r="H12" s="287"/>
      <c r="I12" s="287"/>
      <c r="J12" s="287"/>
    </row>
    <row r="13" spans="1:10" ht="12.75">
      <c r="A13" s="288" t="s">
        <v>134</v>
      </c>
      <c r="B13" s="289">
        <f>IF(Projeções!C114=0,"-",((Projeções!D114/Projeções!C114)-1)-B11-B18)</f>
        <v>0.11808379178128821</v>
      </c>
      <c r="C13" s="289">
        <f>IF(Projeções!D114=0,"-",((Projeções!E114/Projeções!D114)-1)-C11-C18)</f>
        <v>-6.9778139444581638E-3</v>
      </c>
      <c r="D13" s="289">
        <f>IF(Projeções!E114=0,"-",((Projeções!F114/Projeções!E114)-1)-D11-D18)</f>
        <v>4.2429595440631129E-2</v>
      </c>
      <c r="E13" s="285">
        <f t="shared" ref="E13:G20" si="0">(B13+C13+D13)/3</f>
        <v>5.1178524425820389E-2</v>
      </c>
      <c r="F13" s="285">
        <f t="shared" si="0"/>
        <v>2.8876768640664453E-2</v>
      </c>
      <c r="G13" s="285">
        <f t="shared" si="0"/>
        <v>4.0828296169038651E-2</v>
      </c>
      <c r="H13" s="287"/>
      <c r="I13" s="287"/>
      <c r="J13" s="287"/>
    </row>
    <row r="14" spans="1:10" ht="12.75">
      <c r="A14" s="290" t="s">
        <v>135</v>
      </c>
      <c r="B14" s="289">
        <f>IF(Projeções!C122=0,"-",((Projeções!D122/Projeções!C122)-1)-B11-B12)</f>
        <v>1.3747557623157526E-2</v>
      </c>
      <c r="C14" s="289">
        <f>IF(Projeções!D122=0,"-",((Projeções!E122/Projeções!D122)-1)-C11-C12)</f>
        <v>-2.2583050797667661E-2</v>
      </c>
      <c r="D14" s="289">
        <v>0.01</v>
      </c>
      <c r="E14" s="285">
        <f t="shared" si="0"/>
        <v>3.8816894182995494E-4</v>
      </c>
      <c r="F14" s="285">
        <f t="shared" si="0"/>
        <v>-4.0649606186125686E-3</v>
      </c>
      <c r="G14" s="285">
        <f t="shared" si="0"/>
        <v>2.1077361077391291E-3</v>
      </c>
      <c r="H14" s="287"/>
      <c r="I14" s="287"/>
      <c r="J14" s="287"/>
    </row>
    <row r="15" spans="1:10" ht="12.75">
      <c r="A15" s="290" t="s">
        <v>136</v>
      </c>
      <c r="B15" s="289">
        <f>IF(Projeções!C9=0,"-",((Projeções!D9/Projeções!C9)-1)-B11-B12)</f>
        <v>2.6278571312983313E-2</v>
      </c>
      <c r="C15" s="289">
        <f>IF(Projeções!D9=0,"-",((Projeções!E9/Projeções!D9)-1)-C11-C12)</f>
        <v>-2.1176814521053503E-3</v>
      </c>
      <c r="D15" s="289">
        <v>5.5E-2</v>
      </c>
      <c r="E15" s="285">
        <f t="shared" si="0"/>
        <v>2.638696328695932E-2</v>
      </c>
      <c r="F15" s="285">
        <f t="shared" si="0"/>
        <v>2.6423093944951324E-2</v>
      </c>
      <c r="G15" s="285">
        <f t="shared" si="0"/>
        <v>3.5936685743970215E-2</v>
      </c>
      <c r="H15" s="287"/>
      <c r="I15" s="287"/>
      <c r="J15" s="287"/>
    </row>
    <row r="16" spans="1:10" ht="12.75">
      <c r="A16" s="290" t="s">
        <v>382</v>
      </c>
      <c r="B16" s="289">
        <f>IF(Projeções!C40=0,"-",((Projeções!D40/Projeções!C40)-1)-B11-B12)</f>
        <v>0.11871453429336701</v>
      </c>
      <c r="C16" s="289">
        <f>IF(Projeções!D40=0,"-",((Projeções!E40/Projeções!D40)-1)-C11-C12)</f>
        <v>-7.071633479255636E-2</v>
      </c>
      <c r="D16" s="289">
        <v>-3.39E-2</v>
      </c>
      <c r="E16" s="285">
        <f t="shared" si="0"/>
        <v>4.6993998336035498E-3</v>
      </c>
      <c r="F16" s="285">
        <f t="shared" si="0"/>
        <v>-3.3305644986317599E-2</v>
      </c>
      <c r="G16" s="285">
        <f t="shared" si="0"/>
        <v>-2.0835415050904683E-2</v>
      </c>
      <c r="H16" s="287"/>
      <c r="I16" s="287"/>
      <c r="J16" s="287"/>
    </row>
    <row r="17" spans="1:10" ht="12.75">
      <c r="A17" s="290" t="s">
        <v>383</v>
      </c>
      <c r="B17" s="289">
        <f>IF(Projeções!C51=0,"-",((Projeções!D51/Projeções!C51)-1)-B11-B12)</f>
        <v>6.0320748759032407E-2</v>
      </c>
      <c r="C17" s="289">
        <f>IF(Projeções!D51=0,"-",((Projeções!E51/Projeções!D51)-1)-C11-C12)</f>
        <v>-4.3751679032648885E-2</v>
      </c>
      <c r="D17" s="289">
        <v>0.01</v>
      </c>
      <c r="E17" s="285">
        <f t="shared" si="0"/>
        <v>8.8563565754611745E-3</v>
      </c>
      <c r="F17" s="285">
        <f t="shared" si="0"/>
        <v>-8.2984408190625702E-3</v>
      </c>
      <c r="G17" s="285">
        <f t="shared" si="0"/>
        <v>3.5193052521328688E-3</v>
      </c>
      <c r="H17" s="287"/>
      <c r="I17" s="287"/>
      <c r="J17" s="287"/>
    </row>
    <row r="18" spans="1:10" ht="12.75">
      <c r="A18" s="283" t="s">
        <v>384</v>
      </c>
      <c r="B18" s="291">
        <v>0</v>
      </c>
      <c r="C18" s="291">
        <v>0</v>
      </c>
      <c r="D18" s="291">
        <v>0</v>
      </c>
      <c r="E18" s="286">
        <v>0</v>
      </c>
      <c r="F18" s="286">
        <v>0</v>
      </c>
      <c r="G18" s="286">
        <v>0</v>
      </c>
      <c r="H18" s="287"/>
      <c r="I18" s="287"/>
      <c r="J18" s="287"/>
    </row>
    <row r="19" spans="1:10" ht="12.75">
      <c r="A19" s="283" t="s">
        <v>385</v>
      </c>
      <c r="B19" s="291">
        <v>0</v>
      </c>
      <c r="C19" s="291">
        <v>0</v>
      </c>
      <c r="D19" s="291">
        <v>0</v>
      </c>
      <c r="E19" s="291">
        <v>0</v>
      </c>
      <c r="F19" s="291">
        <v>0</v>
      </c>
      <c r="G19" s="291">
        <v>0</v>
      </c>
      <c r="H19" s="287"/>
      <c r="I19" s="287"/>
      <c r="J19" s="287"/>
    </row>
    <row r="20" spans="1:10" ht="12.75">
      <c r="A20" s="292" t="s">
        <v>143</v>
      </c>
      <c r="B20" s="289">
        <f>IF(Projeções!C127=0,"-",((Projeções!D127/Projeções!C127)-1)-B11-B12)</f>
        <v>1.8486016151557667</v>
      </c>
      <c r="C20" s="289">
        <f>IF(Projeções!D127=0,"-",((Projeções!E127/Projeções!D127)-1)-C11-C12)</f>
        <v>-0.67557780209615426</v>
      </c>
      <c r="D20" s="289">
        <f>IF(Projeções!E127=0,"-",((Projeções!F127/Projeções!E127)-1)-D11-D12)</f>
        <v>2.2123146825958941</v>
      </c>
      <c r="E20" s="285">
        <f t="shared" si="0"/>
        <v>1.1284461652185023</v>
      </c>
      <c r="F20" s="285">
        <f t="shared" si="0"/>
        <v>0.88839434857274746</v>
      </c>
      <c r="G20" s="285">
        <f t="shared" si="0"/>
        <v>1.4097183987957145</v>
      </c>
      <c r="H20" s="287"/>
      <c r="I20" s="287"/>
      <c r="J20" s="287"/>
    </row>
    <row r="21" spans="1:10" ht="12.75">
      <c r="A21" s="292" t="s">
        <v>212</v>
      </c>
      <c r="B21" s="289">
        <v>0.13750000000000001</v>
      </c>
      <c r="C21" s="289">
        <v>0.1018</v>
      </c>
      <c r="D21" s="285">
        <v>6.5000000000000002E-2</v>
      </c>
      <c r="E21" s="286">
        <v>7.3099999999999998E-2</v>
      </c>
      <c r="F21" s="286">
        <v>8.09E-2</v>
      </c>
      <c r="G21" s="286">
        <v>8.0799999999999997E-2</v>
      </c>
      <c r="H21" s="287"/>
      <c r="I21" s="287"/>
      <c r="J21" s="287"/>
    </row>
    <row r="22" spans="1:10" ht="12.75">
      <c r="A22" s="292" t="s">
        <v>536</v>
      </c>
      <c r="B22" s="293">
        <v>3.35</v>
      </c>
      <c r="C22" s="293">
        <v>3.29</v>
      </c>
      <c r="D22" s="294">
        <v>3.46</v>
      </c>
      <c r="E22" s="295">
        <v>3.43</v>
      </c>
      <c r="F22" s="295">
        <v>3.5</v>
      </c>
      <c r="G22" s="295">
        <v>3.55</v>
      </c>
      <c r="H22" s="287"/>
      <c r="I22" s="287"/>
      <c r="J22" s="287"/>
    </row>
    <row r="23" spans="1:10" ht="15">
      <c r="A23" s="296"/>
      <c r="B23" s="296"/>
      <c r="C23" s="297"/>
      <c r="D23" s="297"/>
      <c r="E23" s="297"/>
      <c r="F23" s="297"/>
      <c r="G23" s="297"/>
      <c r="H23" s="287"/>
      <c r="I23" s="287"/>
      <c r="J23" s="287"/>
    </row>
    <row r="24" spans="1:10">
      <c r="A24" s="540"/>
      <c r="B24" s="541"/>
      <c r="C24" s="541"/>
      <c r="D24" s="541"/>
      <c r="E24" s="541"/>
      <c r="F24" s="541"/>
      <c r="G24" s="541"/>
      <c r="H24" s="287"/>
      <c r="I24" s="287"/>
      <c r="J24" s="287"/>
    </row>
    <row r="25" spans="1:10">
      <c r="A25" s="541"/>
      <c r="B25" s="541"/>
      <c r="C25" s="541"/>
      <c r="D25" s="541"/>
      <c r="E25" s="541"/>
      <c r="F25" s="541"/>
      <c r="G25" s="541"/>
      <c r="H25" s="298"/>
      <c r="I25" s="287"/>
      <c r="J25" s="287"/>
    </row>
    <row r="26" spans="1:10">
      <c r="A26" s="541"/>
      <c r="B26" s="541"/>
      <c r="C26" s="541"/>
      <c r="D26" s="541"/>
      <c r="E26" s="541"/>
      <c r="F26" s="541"/>
      <c r="G26" s="541"/>
      <c r="H26" s="298"/>
      <c r="I26" s="287"/>
      <c r="J26" s="287"/>
    </row>
  </sheetData>
  <customSheetViews>
    <customSheetView guid="{16B3F100-CCE8-11D8-BD62-000C6E3CD3F1}" scale="75" showGridLines="0" hiddenRows="1" hiddenColumns="1" showRuler="0" topLeftCell="A7">
      <selection activeCell="B30" sqref="B30"/>
      <pageMargins left="0.78740157499999996" right="0.78740157499999996" top="0.984251969" bottom="0.984251969" header="0.49212598499999999" footer="0.49212598499999999"/>
      <pageSetup orientation="portrait" horizontalDpi="300" r:id="rId1"/>
      <headerFooter alignWithMargins="0"/>
    </customSheetView>
  </customSheetViews>
  <mergeCells count="4">
    <mergeCell ref="A24:G26"/>
    <mergeCell ref="A7:J7"/>
    <mergeCell ref="A8:J8"/>
    <mergeCell ref="A9:J9"/>
  </mergeCells>
  <phoneticPr fontId="25" type="noConversion"/>
  <printOptions gridLines="1"/>
  <pageMargins left="0" right="0" top="0.39370078740157483" bottom="0.19685039370078741" header="0.51181102362204722" footer="0.51181102362204722"/>
  <pageSetup paperSize="9" scale="70" orientation="landscape" horizontalDpi="300" verticalDpi="300" r:id="rId2"/>
  <headerFooter alignWithMargins="0"/>
  <colBreaks count="1" manualBreakCount="1">
    <brk id="8" max="1048575" man="1"/>
  </colBreak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13"/>
  <dimension ref="A1:N65"/>
  <sheetViews>
    <sheetView zoomScaleNormal="85" zoomScaleSheetLayoutView="100" workbookViewId="0">
      <selection activeCell="N56" sqref="N56:N65"/>
    </sheetView>
  </sheetViews>
  <sheetFormatPr defaultRowHeight="12.75"/>
  <cols>
    <col min="1" max="1" width="25.28515625" style="11" customWidth="1"/>
    <col min="2" max="2" width="14.28515625" style="11" customWidth="1"/>
    <col min="3" max="3" width="13.5703125" style="11" customWidth="1"/>
    <col min="4" max="4" width="10.28515625" style="11" customWidth="1"/>
    <col min="5" max="5" width="15.140625" style="11" customWidth="1"/>
    <col min="6" max="6" width="10.28515625" style="11" customWidth="1"/>
    <col min="7" max="7" width="15" style="11" customWidth="1"/>
    <col min="8" max="8" width="11" style="11" customWidth="1"/>
    <col min="9" max="9" width="15.140625" style="11" customWidth="1"/>
    <col min="10" max="10" width="10.7109375" style="11" customWidth="1"/>
    <col min="11" max="11" width="16.28515625" style="11" customWidth="1"/>
    <col min="12" max="12" width="10.28515625" style="11" customWidth="1"/>
    <col min="13" max="13" width="9.140625" style="11"/>
    <col min="14" max="14" width="17.28515625" style="11" customWidth="1"/>
    <col min="15" max="16384" width="9.140625" style="11"/>
  </cols>
  <sheetData>
    <row r="1" spans="1:12" ht="12.75" customHeight="1">
      <c r="A1" s="601" t="str">
        <f>Parâmetros!A7</f>
        <v>Município de : PORTÃO/RS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3"/>
    </row>
    <row r="2" spans="1:12">
      <c r="A2" s="604" t="s">
        <v>36</v>
      </c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3"/>
    </row>
    <row r="3" spans="1:12">
      <c r="A3" s="604" t="str">
        <f>'Metas Cons'!A3:M3</f>
        <v>ANEXO DE METAS FISCAIS</v>
      </c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3"/>
    </row>
    <row r="4" spans="1:12">
      <c r="A4" s="605" t="s">
        <v>125</v>
      </c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7"/>
    </row>
    <row r="5" spans="1:12">
      <c r="A5" s="604" t="s">
        <v>598</v>
      </c>
      <c r="B5" s="602"/>
      <c r="C5" s="602"/>
      <c r="D5" s="602"/>
      <c r="E5" s="602"/>
      <c r="F5" s="602"/>
      <c r="G5" s="602"/>
      <c r="H5" s="602"/>
      <c r="I5" s="602"/>
      <c r="J5" s="602"/>
      <c r="K5" s="602"/>
      <c r="L5" s="603"/>
    </row>
    <row r="6" spans="1:12">
      <c r="A6" s="604"/>
      <c r="B6" s="602"/>
      <c r="C6" s="602"/>
      <c r="D6" s="602"/>
      <c r="E6" s="602"/>
      <c r="F6" s="602"/>
      <c r="G6" s="602"/>
      <c r="H6" s="602"/>
      <c r="I6" s="602"/>
      <c r="J6" s="602"/>
      <c r="K6" s="602"/>
      <c r="L6" s="603"/>
    </row>
    <row r="7" spans="1:12">
      <c r="A7" s="653" t="s">
        <v>497</v>
      </c>
      <c r="B7" s="654"/>
      <c r="C7" s="363"/>
      <c r="D7" s="363"/>
      <c r="E7" s="363"/>
      <c r="F7" s="363"/>
      <c r="G7" s="363"/>
      <c r="H7" s="363"/>
      <c r="I7" s="363"/>
      <c r="J7" s="363"/>
      <c r="K7" s="363"/>
      <c r="L7" s="364">
        <v>1</v>
      </c>
    </row>
    <row r="8" spans="1:12" ht="15.75" customHeight="1">
      <c r="A8" s="237" t="s">
        <v>56</v>
      </c>
      <c r="B8" s="650" t="s">
        <v>79</v>
      </c>
      <c r="C8" s="649"/>
      <c r="D8" s="649"/>
      <c r="E8" s="649"/>
      <c r="F8" s="649"/>
      <c r="G8" s="649"/>
      <c r="H8" s="649"/>
      <c r="I8" s="649"/>
      <c r="J8" s="649"/>
      <c r="K8" s="649"/>
      <c r="L8" s="649"/>
    </row>
    <row r="9" spans="1:12" s="12" customFormat="1" ht="15.75" customHeight="1">
      <c r="A9" s="651"/>
      <c r="B9" s="595">
        <f>Parâmetros!B10</f>
        <v>2016</v>
      </c>
      <c r="C9" s="595">
        <f>B9+1</f>
        <v>2017</v>
      </c>
      <c r="D9" s="595" t="s">
        <v>119</v>
      </c>
      <c r="E9" s="595">
        <f>C9+1</f>
        <v>2018</v>
      </c>
      <c r="F9" s="595" t="s">
        <v>119</v>
      </c>
      <c r="G9" s="598">
        <f>E9+1</f>
        <v>2019</v>
      </c>
      <c r="H9" s="598" t="s">
        <v>119</v>
      </c>
      <c r="I9" s="598">
        <f>G9+1</f>
        <v>2020</v>
      </c>
      <c r="J9" s="598" t="s">
        <v>120</v>
      </c>
      <c r="K9" s="598">
        <f>I9+1</f>
        <v>2021</v>
      </c>
      <c r="L9" s="643" t="s">
        <v>119</v>
      </c>
    </row>
    <row r="10" spans="1:12" s="12" customFormat="1" ht="15.75" customHeight="1">
      <c r="A10" s="652"/>
      <c r="B10" s="597"/>
      <c r="C10" s="597"/>
      <c r="D10" s="597"/>
      <c r="E10" s="597"/>
      <c r="F10" s="597"/>
      <c r="G10" s="600"/>
      <c r="H10" s="600"/>
      <c r="I10" s="600"/>
      <c r="J10" s="600"/>
      <c r="K10" s="600"/>
      <c r="L10" s="645"/>
    </row>
    <row r="11" spans="1:12">
      <c r="A11" s="365" t="s">
        <v>80</v>
      </c>
      <c r="B11" s="366">
        <v>79969598</v>
      </c>
      <c r="C11" s="367">
        <f>' Avaliação'!B11</f>
        <v>93233157.620000005</v>
      </c>
      <c r="D11" s="368">
        <f t="shared" ref="D11:D18" si="0">IF(B11=0,"0",(C11/B11)-1)</f>
        <v>0.16585752525603548</v>
      </c>
      <c r="E11" s="366">
        <v>101230740.90000001</v>
      </c>
      <c r="F11" s="368">
        <f t="shared" ref="F11:F18" si="1">IF(C11=0,"0",(E11/C11)-1)</f>
        <v>8.5780461416919751E-2</v>
      </c>
      <c r="G11" s="369">
        <f>'Metas Cons'!B11</f>
        <v>85289822.268859223</v>
      </c>
      <c r="H11" s="370">
        <f>IF(E11=0,"0",(G11/E11)-1)</f>
        <v>-0.15747112477313485</v>
      </c>
      <c r="I11" s="369">
        <f>'Metas Cons'!F11</f>
        <v>88051638.239718631</v>
      </c>
      <c r="J11" s="368">
        <f>IF(G11=0,"-",(I11/G11)-1)</f>
        <v>3.2381542104207073E-2</v>
      </c>
      <c r="K11" s="369">
        <f>'Metas Cons'!J11</f>
        <v>91770453.304013416</v>
      </c>
      <c r="L11" s="368">
        <f>IF(I11=0,"-",(K11/I11)-1)</f>
        <v>4.2234478978919077E-2</v>
      </c>
    </row>
    <row r="12" spans="1:12">
      <c r="A12" s="365" t="s">
        <v>126</v>
      </c>
      <c r="B12" s="366">
        <v>71575338</v>
      </c>
      <c r="C12" s="367">
        <f>' Avaliação'!B12</f>
        <v>81084839.140000001</v>
      </c>
      <c r="D12" s="368">
        <f t="shared" si="0"/>
        <v>0.13286002421672105</v>
      </c>
      <c r="E12" s="366">
        <v>88085450.099999994</v>
      </c>
      <c r="F12" s="368">
        <f t="shared" si="1"/>
        <v>8.633686684526598E-2</v>
      </c>
      <c r="G12" s="369">
        <f>'Metas Cons'!B12</f>
        <v>77382606.481257617</v>
      </c>
      <c r="H12" s="370">
        <f t="shared" ref="H12:H18" si="2">IF(E12=0,"0",(G12/E12)-1)</f>
        <v>-0.1215052384541585</v>
      </c>
      <c r="I12" s="369">
        <f>'Metas Cons'!F12</f>
        <v>79606823.025935441</v>
      </c>
      <c r="J12" s="368">
        <f t="shared" ref="J12:J18" si="3">IF(G12=0,"-",(I12/G12)-1)</f>
        <v>2.8743107085912545E-2</v>
      </c>
      <c r="K12" s="369">
        <f>'Metas Cons'!J12</f>
        <v>82761905.030811712</v>
      </c>
      <c r="L12" s="368">
        <f t="shared" ref="L12:L18" si="4">IF(I12=0,"-",(K12/I12)-1)</f>
        <v>3.9633311378955094E-2</v>
      </c>
    </row>
    <row r="13" spans="1:12">
      <c r="A13" s="365" t="s">
        <v>81</v>
      </c>
      <c r="B13" s="366">
        <v>79969598</v>
      </c>
      <c r="C13" s="367">
        <f>' Avaliação'!B13</f>
        <v>74446723.989999995</v>
      </c>
      <c r="D13" s="368">
        <f t="shared" si="0"/>
        <v>-6.9062170476335338E-2</v>
      </c>
      <c r="E13" s="366">
        <v>101230740.90000001</v>
      </c>
      <c r="F13" s="368">
        <f t="shared" si="1"/>
        <v>0.35977428521364829</v>
      </c>
      <c r="G13" s="369">
        <f>'Metas Cons'!B13</f>
        <v>95254389.862251192</v>
      </c>
      <c r="H13" s="370">
        <f t="shared" si="2"/>
        <v>-5.9036918870844834E-2</v>
      </c>
      <c r="I13" s="369">
        <f>'Metas Cons'!F13</f>
        <v>100604152.12157348</v>
      </c>
      <c r="J13" s="368">
        <f t="shared" si="3"/>
        <v>5.6162894613662084E-2</v>
      </c>
      <c r="K13" s="369">
        <f>'Metas Cons'!J13</f>
        <v>109199178.47010462</v>
      </c>
      <c r="L13" s="368">
        <f t="shared" si="4"/>
        <v>8.5434111488208009E-2</v>
      </c>
    </row>
    <row r="14" spans="1:12">
      <c r="A14" s="365" t="s">
        <v>122</v>
      </c>
      <c r="B14" s="366">
        <v>77878008</v>
      </c>
      <c r="C14" s="367">
        <f>' Avaliação'!B14</f>
        <v>72119976.890000001</v>
      </c>
      <c r="D14" s="368">
        <f t="shared" si="0"/>
        <v>-7.3936548428408688E-2</v>
      </c>
      <c r="E14" s="366">
        <v>98840585.170000002</v>
      </c>
      <c r="F14" s="368">
        <f t="shared" si="1"/>
        <v>0.37050217474078284</v>
      </c>
      <c r="G14" s="369">
        <f>'Metas Cons'!B14</f>
        <v>92606396.044486985</v>
      </c>
      <c r="H14" s="370">
        <f t="shared" si="2"/>
        <v>-6.307317095290943E-2</v>
      </c>
      <c r="I14" s="369">
        <f>'Metas Cons'!F14</f>
        <v>97841511.610198632</v>
      </c>
      <c r="J14" s="368">
        <f t="shared" si="3"/>
        <v>5.6530820648681424E-2</v>
      </c>
      <c r="K14" s="369">
        <f>'Metas Cons'!J14</f>
        <v>106318677.02345195</v>
      </c>
      <c r="L14" s="368">
        <f t="shared" si="4"/>
        <v>8.6641807487872979E-2</v>
      </c>
    </row>
    <row r="15" spans="1:12">
      <c r="A15" s="365" t="s">
        <v>82</v>
      </c>
      <c r="B15" s="367">
        <f>B12-B14</f>
        <v>-6302670</v>
      </c>
      <c r="C15" s="367">
        <f>' Avaliação'!B15</f>
        <v>8964862.25</v>
      </c>
      <c r="D15" s="368">
        <f t="shared" si="0"/>
        <v>-2.4223911850057198</v>
      </c>
      <c r="E15" s="367">
        <f>E12-E14</f>
        <v>-10755135.070000008</v>
      </c>
      <c r="F15" s="368">
        <f t="shared" si="1"/>
        <v>-2.1996988654231702</v>
      </c>
      <c r="G15" s="369">
        <f>G12-G14</f>
        <v>-15223789.563229367</v>
      </c>
      <c r="H15" s="370">
        <f t="shared" si="2"/>
        <v>0.41549031826611516</v>
      </c>
      <c r="I15" s="369">
        <f>I12-I14</f>
        <v>-18234688.584263191</v>
      </c>
      <c r="J15" s="368">
        <f t="shared" si="3"/>
        <v>0.19777592225172169</v>
      </c>
      <c r="K15" s="369">
        <f>K12-K14</f>
        <v>-23556771.992640242</v>
      </c>
      <c r="L15" s="368">
        <f t="shared" si="4"/>
        <v>0.29186587880475723</v>
      </c>
    </row>
    <row r="16" spans="1:12">
      <c r="A16" s="365" t="s">
        <v>83</v>
      </c>
      <c r="B16" s="371">
        <v>1580581</v>
      </c>
      <c r="C16" s="367">
        <f>' Avaliação'!B16</f>
        <v>-3318781.58</v>
      </c>
      <c r="D16" s="368">
        <f t="shared" si="0"/>
        <v>-3.0997225577176999</v>
      </c>
      <c r="E16" s="371">
        <v>3219508.46</v>
      </c>
      <c r="F16" s="368">
        <f t="shared" si="1"/>
        <v>-1.9700874801167241</v>
      </c>
      <c r="G16" s="369">
        <f>'Metas Cons'!B16</f>
        <v>-14459173.112295367</v>
      </c>
      <c r="H16" s="370">
        <f t="shared" si="2"/>
        <v>-5.4911120104015403</v>
      </c>
      <c r="I16" s="369">
        <f>'Metas Cons'!F16</f>
        <v>-18015778.817815669</v>
      </c>
      <c r="J16" s="368">
        <f t="shared" si="3"/>
        <v>0.24597573304492348</v>
      </c>
      <c r="K16" s="369">
        <f>'Metas Cons'!J16</f>
        <v>-23310520.280724924</v>
      </c>
      <c r="L16" s="368">
        <f t="shared" si="4"/>
        <v>0.29389467513185297</v>
      </c>
    </row>
    <row r="17" spans="1:12">
      <c r="A17" s="365" t="s">
        <v>84</v>
      </c>
      <c r="B17" s="372">
        <f>Dívida!B7</f>
        <v>1968245.02</v>
      </c>
      <c r="C17" s="367">
        <f>' Avaliação'!B17</f>
        <v>1560483.86</v>
      </c>
      <c r="D17" s="368">
        <f t="shared" si="0"/>
        <v>-0.20716991830620757</v>
      </c>
      <c r="E17" s="372">
        <f>Dívida!D7</f>
        <v>1613031.5</v>
      </c>
      <c r="F17" s="368">
        <f t="shared" si="1"/>
        <v>3.3673940081635934E-2</v>
      </c>
      <c r="G17" s="369">
        <f>'Metas Cons'!B17</f>
        <v>1713920.1266666667</v>
      </c>
      <c r="H17" s="370">
        <f t="shared" si="2"/>
        <v>6.2545974252001146E-2</v>
      </c>
      <c r="I17" s="369">
        <f>'Metas Cons'!F17</f>
        <v>1629145.1622222224</v>
      </c>
      <c r="J17" s="368">
        <f t="shared" si="3"/>
        <v>-4.9462610961526932E-2</v>
      </c>
      <c r="K17" s="369">
        <f>'Metas Cons'!J17</f>
        <v>1652032.2629629632</v>
      </c>
      <c r="L17" s="368">
        <f t="shared" si="4"/>
        <v>1.4048533716616074E-2</v>
      </c>
    </row>
    <row r="18" spans="1:12">
      <c r="A18" s="373" t="s">
        <v>78</v>
      </c>
      <c r="B18" s="374">
        <f>Dívida!B15</f>
        <v>-6278158.879999999</v>
      </c>
      <c r="C18" s="367">
        <f>' Avaliação'!B18</f>
        <v>-9611949.25</v>
      </c>
      <c r="D18" s="368">
        <f t="shared" si="0"/>
        <v>0.53101401760001354</v>
      </c>
      <c r="E18" s="374">
        <f>Dívida!D15</f>
        <v>-16280878.579999998</v>
      </c>
      <c r="F18" s="368">
        <f t="shared" si="1"/>
        <v>0.69381653570424318</v>
      </c>
      <c r="G18" s="369">
        <f>'Metas Cons'!B18</f>
        <v>-11684122.676666664</v>
      </c>
      <c r="H18" s="370">
        <f t="shared" si="2"/>
        <v>-0.28234077668143476</v>
      </c>
      <c r="I18" s="369">
        <f>'Metas Cons'!F18</f>
        <v>-13250127.242222223</v>
      </c>
      <c r="J18" s="368">
        <f t="shared" si="3"/>
        <v>0.13402842548742577</v>
      </c>
      <c r="K18" s="369">
        <f>'Metas Cons'!J18</f>
        <v>-13926527.499629628</v>
      </c>
      <c r="L18" s="368">
        <f t="shared" si="4"/>
        <v>5.1048585801653168E-2</v>
      </c>
    </row>
    <row r="19" spans="1:12">
      <c r="A19" s="649"/>
      <c r="B19" s="649"/>
      <c r="C19" s="649"/>
      <c r="D19" s="649"/>
      <c r="E19" s="649"/>
      <c r="F19" s="649"/>
      <c r="G19" s="649"/>
      <c r="H19" s="649"/>
      <c r="I19" s="649"/>
      <c r="J19" s="649"/>
      <c r="K19" s="649"/>
      <c r="L19" s="649"/>
    </row>
    <row r="20" spans="1:12" ht="15.75" customHeight="1">
      <c r="A20" s="236" t="s">
        <v>56</v>
      </c>
      <c r="B20" s="650" t="s">
        <v>85</v>
      </c>
      <c r="C20" s="649"/>
      <c r="D20" s="649"/>
      <c r="E20" s="649"/>
      <c r="F20" s="649"/>
      <c r="G20" s="649"/>
      <c r="H20" s="649"/>
      <c r="I20" s="649"/>
      <c r="J20" s="649"/>
      <c r="K20" s="649"/>
      <c r="L20" s="649"/>
    </row>
    <row r="21" spans="1:12" s="12" customFormat="1" ht="15.75" customHeight="1">
      <c r="A21" s="651"/>
      <c r="B21" s="595">
        <f>Parâmetros!B10</f>
        <v>2016</v>
      </c>
      <c r="C21" s="595">
        <f>B21+1</f>
        <v>2017</v>
      </c>
      <c r="D21" s="595" t="s">
        <v>119</v>
      </c>
      <c r="E21" s="595">
        <f>C21+1</f>
        <v>2018</v>
      </c>
      <c r="F21" s="598" t="s">
        <v>119</v>
      </c>
      <c r="G21" s="598">
        <f>E21+1</f>
        <v>2019</v>
      </c>
      <c r="H21" s="598" t="s">
        <v>119</v>
      </c>
      <c r="I21" s="598">
        <f>G21+1</f>
        <v>2020</v>
      </c>
      <c r="J21" s="598" t="s">
        <v>119</v>
      </c>
      <c r="K21" s="598">
        <f>I21+1</f>
        <v>2021</v>
      </c>
      <c r="L21" s="643" t="s">
        <v>119</v>
      </c>
    </row>
    <row r="22" spans="1:12" s="12" customFormat="1" ht="15.75" customHeight="1">
      <c r="A22" s="652"/>
      <c r="B22" s="597"/>
      <c r="C22" s="597"/>
      <c r="D22" s="597"/>
      <c r="E22" s="597"/>
      <c r="F22" s="600"/>
      <c r="G22" s="600"/>
      <c r="H22" s="600"/>
      <c r="I22" s="600"/>
      <c r="J22" s="600"/>
      <c r="K22" s="600"/>
      <c r="L22" s="645"/>
    </row>
    <row r="23" spans="1:12">
      <c r="A23" s="365" t="s">
        <v>80</v>
      </c>
      <c r="B23" s="369">
        <f>B11*((1+Parâmetros!C11)*(1+Parâmetros!D11))</f>
        <v>86079543.985049278</v>
      </c>
      <c r="C23" s="367">
        <f>C11*(1+Parâmetros!D11)</f>
        <v>96570904.662796006</v>
      </c>
      <c r="D23" s="368">
        <f>IF(B23=0,"-",(C23/B23)-1)</f>
        <v>0.12187983569672389</v>
      </c>
      <c r="E23" s="367">
        <f>E11</f>
        <v>101230740.90000001</v>
      </c>
      <c r="F23" s="368">
        <f>IF(C23=0,"-",(E23/C23)-1)</f>
        <v>4.8253003878084177E-2</v>
      </c>
      <c r="G23" s="369">
        <f>'Metas Cons'!C11</f>
        <v>81954282.952684954</v>
      </c>
      <c r="H23" s="368">
        <f>IF(E23=0,"-",(G23/E23)-1)</f>
        <v>-0.19042099046135752</v>
      </c>
      <c r="I23" s="369">
        <f>'Metas Cons'!G11</f>
        <v>81338289.768061355</v>
      </c>
      <c r="J23" s="368">
        <f>IF(G23=0,"-",(I23/G23)-1)</f>
        <v>-7.5163025339289868E-3</v>
      </c>
      <c r="K23" s="369">
        <f>'Metas Cons'!K11</f>
        <v>81560102.037186608</v>
      </c>
      <c r="L23" s="368">
        <f>IF(I23=0,"-",(K23/I23)-1)</f>
        <v>2.727033845409732E-3</v>
      </c>
    </row>
    <row r="24" spans="1:12">
      <c r="A24" s="365" t="s">
        <v>126</v>
      </c>
      <c r="B24" s="369">
        <f>B12*((1+Parâmetros!C11)*(1+Parâmetros!D11))</f>
        <v>77043934.316335678</v>
      </c>
      <c r="C24" s="367">
        <f>C12*(1+Parâmetros!D11)</f>
        <v>83987676.381212011</v>
      </c>
      <c r="D24" s="368">
        <f t="shared" ref="D24:D30" si="5">IF(B24=0,"-",(C24/B24)-1)</f>
        <v>9.0127044088453845E-2</v>
      </c>
      <c r="E24" s="367">
        <f>E12</f>
        <v>88085450.099999994</v>
      </c>
      <c r="F24" s="368">
        <f>IF(C24=0,"-",(E24/C24)-1)</f>
        <v>4.8790178456522337E-2</v>
      </c>
      <c r="G24" s="375">
        <f>'Metas Cons'!C12</f>
        <v>74356304.872929394</v>
      </c>
      <c r="H24" s="368">
        <f t="shared" ref="H24:H30" si="6">IF(E24=0,"-",(G24/E24)-1)</f>
        <v>-0.15586166854440131</v>
      </c>
      <c r="I24" s="375">
        <f>'Metas Cons'!G12</f>
        <v>73537335.230152637</v>
      </c>
      <c r="J24" s="368">
        <f t="shared" ref="J24:J30" si="7">IF(G24=0,"-",(I24/G24)-1)</f>
        <v>-1.1014125085644477E-2</v>
      </c>
      <c r="K24" s="375">
        <f>'Metas Cons'!K12</f>
        <v>73553841.96200487</v>
      </c>
      <c r="L24" s="368">
        <f t="shared" ref="L24:L30" si="8">IF(I24=0,"-",(K24/I24)-1)</f>
        <v>2.2446736478243245E-4</v>
      </c>
    </row>
    <row r="25" spans="1:12">
      <c r="A25" s="365" t="s">
        <v>81</v>
      </c>
      <c r="B25" s="369">
        <f>B13*((1+Parâmetros!C11)*(1+Parâmetros!D11))</f>
        <v>86079543.985049278</v>
      </c>
      <c r="C25" s="367">
        <f>C13*(1+Parâmetros!D11)</f>
        <v>77111916.708841994</v>
      </c>
      <c r="D25" s="368">
        <f t="shared" si="5"/>
        <v>-0.10417837805651975</v>
      </c>
      <c r="E25" s="367">
        <f>E13</f>
        <v>101230740.90000001</v>
      </c>
      <c r="F25" s="368">
        <f t="shared" ref="F25:F30" si="9">IF(C25=0,"-",(E25/C25)-1)</f>
        <v>0.31277687315470959</v>
      </c>
      <c r="G25" s="375">
        <f>'Metas Cons'!C13</f>
        <v>91529153.322044</v>
      </c>
      <c r="H25" s="368">
        <f t="shared" si="6"/>
        <v>-9.5836378275050316E-2</v>
      </c>
      <c r="I25" s="375">
        <f>'Metas Cons'!G13</f>
        <v>92933758.425444782</v>
      </c>
      <c r="J25" s="368">
        <f t="shared" si="7"/>
        <v>1.534598597737169E-2</v>
      </c>
      <c r="K25" s="375">
        <f>'Metas Cons'!K13</f>
        <v>97049712.818724662</v>
      </c>
      <c r="L25" s="368">
        <f t="shared" si="8"/>
        <v>4.4289120154135109E-2</v>
      </c>
    </row>
    <row r="26" spans="1:12">
      <c r="A26" s="365" t="s">
        <v>122</v>
      </c>
      <c r="B26" s="369">
        <f>B14*((1+Parâmetros!C11)*(1+Parâmetros!D11))</f>
        <v>83828149.481306881</v>
      </c>
      <c r="C26" s="367">
        <f>C14*(1+Parâmetros!D11)</f>
        <v>74701872.062662005</v>
      </c>
      <c r="D26" s="368">
        <f t="shared" si="5"/>
        <v>-0.10886888801809913</v>
      </c>
      <c r="E26" s="367">
        <f>E14</f>
        <v>98840585.170000002</v>
      </c>
      <c r="F26" s="368">
        <f t="shared" si="9"/>
        <v>0.32313397831703305</v>
      </c>
      <c r="G26" s="375">
        <f>'Metas Cons'!C14</f>
        <v>88984718.021031022</v>
      </c>
      <c r="H26" s="368">
        <f t="shared" si="6"/>
        <v>-9.9714779430104206E-2</v>
      </c>
      <c r="I26" s="375">
        <f>'Metas Cons'!G14</f>
        <v>90381750.774804279</v>
      </c>
      <c r="J26" s="368">
        <f t="shared" si="7"/>
        <v>1.5699692990464698E-2</v>
      </c>
      <c r="K26" s="375">
        <f>'Metas Cons'!K14</f>
        <v>94489695.041227415</v>
      </c>
      <c r="L26" s="368">
        <f t="shared" si="8"/>
        <v>4.5451036644095444E-2</v>
      </c>
    </row>
    <row r="27" spans="1:12">
      <c r="A27" s="365" t="s">
        <v>82</v>
      </c>
      <c r="B27" s="369">
        <f>B24-B26</f>
        <v>-6784215.1649712026</v>
      </c>
      <c r="C27" s="375">
        <f>C24-C26</f>
        <v>9285804.3185500056</v>
      </c>
      <c r="D27" s="368">
        <f t="shared" si="5"/>
        <v>-2.3687367061255964</v>
      </c>
      <c r="E27" s="375">
        <f>E24-E26</f>
        <v>-10755135.070000008</v>
      </c>
      <c r="F27" s="368">
        <f t="shared" si="9"/>
        <v>-2.1582340851739423</v>
      </c>
      <c r="G27" s="375">
        <f>'Metas Cons'!C15</f>
        <v>-14628413.148101632</v>
      </c>
      <c r="H27" s="368">
        <f t="shared" si="6"/>
        <v>0.36013290887490657</v>
      </c>
      <c r="I27" s="375">
        <f>'Metas Cons'!G15</f>
        <v>-16844415.544651646</v>
      </c>
      <c r="J27" s="368">
        <f t="shared" si="7"/>
        <v>0.15148617790013619</v>
      </c>
      <c r="K27" s="375">
        <f>'Metas Cons'!K15</f>
        <v>-20935853.079222541</v>
      </c>
      <c r="L27" s="368">
        <f t="shared" si="8"/>
        <v>0.2428957848804667</v>
      </c>
    </row>
    <row r="28" spans="1:12">
      <c r="A28" s="365" t="s">
        <v>83</v>
      </c>
      <c r="B28" s="369">
        <f>B16*((1+Parâmetros!C11)*(1+Parâmetros!D11))</f>
        <v>1701342.69915216</v>
      </c>
      <c r="C28" s="367">
        <f>C16*(1+Parâmetros!D11)</f>
        <v>-3437593.9605640001</v>
      </c>
      <c r="D28" s="368">
        <f t="shared" si="5"/>
        <v>-3.0205182426074866</v>
      </c>
      <c r="E28" s="367">
        <f>E16</f>
        <v>3219508.46</v>
      </c>
      <c r="F28" s="368">
        <f t="shared" si="9"/>
        <v>-1.9365586793944043</v>
      </c>
      <c r="G28" s="375">
        <f>'Metas Cons'!C16</f>
        <v>-13893699.54097758</v>
      </c>
      <c r="H28" s="368">
        <f t="shared" si="6"/>
        <v>-5.3154722882689924</v>
      </c>
      <c r="I28" s="375">
        <f>'Metas Cons'!G16</f>
        <v>-16642196.183691077</v>
      </c>
      <c r="J28" s="368">
        <f t="shared" si="7"/>
        <v>0.19782323884341801</v>
      </c>
      <c r="K28" s="375">
        <f>'Metas Cons'!K16</f>
        <v>-20716999.253971066</v>
      </c>
      <c r="L28" s="368">
        <f t="shared" si="8"/>
        <v>0.24484767667101481</v>
      </c>
    </row>
    <row r="29" spans="1:12">
      <c r="A29" s="365" t="s">
        <v>84</v>
      </c>
      <c r="B29" s="369">
        <f>B17*((1+Parâmetros!C11)*(1+Parâmetros!D11))</f>
        <v>2118625.5528312675</v>
      </c>
      <c r="C29" s="367">
        <f>C17*(1+Parâmetros!D11)</f>
        <v>1616349.1821880003</v>
      </c>
      <c r="D29" s="368">
        <f t="shared" si="5"/>
        <v>-0.23707651877040758</v>
      </c>
      <c r="E29" s="367">
        <f>E17</f>
        <v>1613031.5</v>
      </c>
      <c r="F29" s="368">
        <f t="shared" si="9"/>
        <v>-2.0525776388918837E-3</v>
      </c>
      <c r="G29" s="375">
        <f>'Metas Cons'!C17</f>
        <v>1646891.6370391725</v>
      </c>
      <c r="H29" s="368">
        <f t="shared" si="6"/>
        <v>2.0991615501106065E-2</v>
      </c>
      <c r="I29" s="375">
        <f>'Metas Cons'!G17</f>
        <v>1504933.7403388883</v>
      </c>
      <c r="J29" s="368">
        <f t="shared" si="7"/>
        <v>-8.6197472564436661E-2</v>
      </c>
      <c r="K29" s="375">
        <f>'Metas Cons'!K17</f>
        <v>1468227.6820582182</v>
      </c>
      <c r="L29" s="368">
        <f t="shared" si="8"/>
        <v>-2.4390481319399804E-2</v>
      </c>
    </row>
    <row r="30" spans="1:12">
      <c r="A30" s="373" t="s">
        <v>78</v>
      </c>
      <c r="B30" s="369">
        <f>B18*((1+Parâmetros!C11)*(1+Parâmetros!D11))</f>
        <v>-6757831.3130458361</v>
      </c>
      <c r="C30" s="367">
        <f>C18*(1+Parâmetros!D11)</f>
        <v>-9956057.0331500005</v>
      </c>
      <c r="D30" s="368">
        <f t="shared" si="5"/>
        <v>0.47326214164743408</v>
      </c>
      <c r="E30" s="367">
        <f>E18</f>
        <v>-16280878.579999998</v>
      </c>
      <c r="F30" s="368">
        <f t="shared" si="9"/>
        <v>0.63527373595698311</v>
      </c>
      <c r="G30" s="376">
        <f>'Metas Cons'!C18</f>
        <v>-11227176.58947503</v>
      </c>
      <c r="H30" s="368">
        <f t="shared" si="6"/>
        <v>-0.31040720349902451</v>
      </c>
      <c r="I30" s="369">
        <f>IF('Metas Cons'!G18=0,"0",('Metas Cons'!G18))</f>
        <v>-12239893.665094843</v>
      </c>
      <c r="J30" s="368">
        <f t="shared" si="7"/>
        <v>9.020229329689089E-2</v>
      </c>
      <c r="K30" s="369">
        <f>IF('Metas Cons'!K18=0,"0",('Metas Cons'!K18))</f>
        <v>-12377066.506696697</v>
      </c>
      <c r="L30" s="368">
        <f t="shared" si="8"/>
        <v>1.1207028864395951E-2</v>
      </c>
    </row>
    <row r="31" spans="1:12">
      <c r="A31" s="590" t="s">
        <v>792</v>
      </c>
      <c r="B31" s="590"/>
      <c r="C31" s="590"/>
      <c r="D31" s="590"/>
      <c r="E31" s="590"/>
      <c r="F31" s="590"/>
      <c r="G31" s="590"/>
      <c r="H31" s="590"/>
      <c r="I31" s="590"/>
      <c r="J31" s="590"/>
      <c r="K31" s="590"/>
      <c r="L31" s="590"/>
    </row>
    <row r="56" spans="14:14">
      <c r="N56" s="598">
        <f>L56+1</f>
        <v>1</v>
      </c>
    </row>
    <row r="57" spans="14:14">
      <c r="N57" s="600"/>
    </row>
    <row r="58" spans="14:14">
      <c r="N58" s="369">
        <f>'Metas Cons'!I58</f>
        <v>0</v>
      </c>
    </row>
    <row r="59" spans="14:14">
      <c r="N59" s="369">
        <f>'Metas Cons'!I59</f>
        <v>0</v>
      </c>
    </row>
    <row r="60" spans="14:14">
      <c r="N60" s="369">
        <f>'Metas Cons'!I60</f>
        <v>0</v>
      </c>
    </row>
    <row r="61" spans="14:14">
      <c r="N61" s="369">
        <f>'Metas Cons'!I61</f>
        <v>0</v>
      </c>
    </row>
    <row r="62" spans="14:14">
      <c r="N62" s="369">
        <f>N59-N61</f>
        <v>0</v>
      </c>
    </row>
    <row r="63" spans="14:14">
      <c r="N63" s="369">
        <f>'Metas Cons'!I63</f>
        <v>0</v>
      </c>
    </row>
    <row r="64" spans="14:14">
      <c r="N64" s="369">
        <f>'Metas Cons'!I64</f>
        <v>0</v>
      </c>
    </row>
    <row r="65" spans="14:14">
      <c r="N65" s="369">
        <f>'Metas Cons'!I65</f>
        <v>0</v>
      </c>
    </row>
  </sheetData>
  <mergeCells count="36">
    <mergeCell ref="N56:N57"/>
    <mergeCell ref="A1:L1"/>
    <mergeCell ref="A2:L2"/>
    <mergeCell ref="A3:L3"/>
    <mergeCell ref="A4:L4"/>
    <mergeCell ref="B8:L8"/>
    <mergeCell ref="A7:B7"/>
    <mergeCell ref="A5:L5"/>
    <mergeCell ref="A6:L6"/>
    <mergeCell ref="A31:L31"/>
    <mergeCell ref="F21:F22"/>
    <mergeCell ref="I21:I22"/>
    <mergeCell ref="J21:J22"/>
    <mergeCell ref="K21:K22"/>
    <mergeCell ref="B21:B22"/>
    <mergeCell ref="C21:C22"/>
    <mergeCell ref="D21:D22"/>
    <mergeCell ref="E21:E22"/>
    <mergeCell ref="L21:L22"/>
    <mergeCell ref="G21:G22"/>
    <mergeCell ref="H21:H22"/>
    <mergeCell ref="A21:A22"/>
    <mergeCell ref="A19:L19"/>
    <mergeCell ref="B20:L20"/>
    <mergeCell ref="E9:E10"/>
    <mergeCell ref="J9:J10"/>
    <mergeCell ref="K9:K10"/>
    <mergeCell ref="L9:L10"/>
    <mergeCell ref="A9:A10"/>
    <mergeCell ref="B9:B10"/>
    <mergeCell ref="C9:C10"/>
    <mergeCell ref="F9:F10"/>
    <mergeCell ref="G9:G10"/>
    <mergeCell ref="H9:H10"/>
    <mergeCell ref="D9:D10"/>
    <mergeCell ref="I9:I10"/>
  </mergeCells>
  <phoneticPr fontId="25" type="noConversion"/>
  <pageMargins left="0.78740157480314965" right="0.78740157480314965" top="0.98425196850393704" bottom="0.98425196850393704" header="0.51181102362204722" footer="0.51181102362204722"/>
  <pageSetup paperSize="9" scale="75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14"/>
  <dimension ref="A1:K27"/>
  <sheetViews>
    <sheetView topLeftCell="A13" zoomScaleNormal="95" zoomScaleSheetLayoutView="90" workbookViewId="0">
      <selection activeCell="E12" sqref="E12"/>
    </sheetView>
  </sheetViews>
  <sheetFormatPr defaultRowHeight="12.75"/>
  <cols>
    <col min="1" max="1" width="22" style="11" customWidth="1"/>
    <col min="2" max="2" width="17.5703125" style="11" customWidth="1"/>
    <col min="3" max="3" width="10.140625" style="11" customWidth="1"/>
    <col min="4" max="4" width="17.7109375" style="11" customWidth="1"/>
    <col min="5" max="5" width="10.42578125" style="11" customWidth="1"/>
    <col min="6" max="6" width="18" style="11" customWidth="1"/>
    <col min="7" max="7" width="10.7109375" style="11" customWidth="1"/>
    <col min="8" max="10" width="9.140625" style="11"/>
    <col min="11" max="11" width="14" style="11" bestFit="1" customWidth="1"/>
    <col min="12" max="16384" width="9.140625" style="11"/>
  </cols>
  <sheetData>
    <row r="1" spans="1:11" ht="15.75">
      <c r="A1" s="662" t="str">
        <f>Parâmetros!A7</f>
        <v>Município de : PORTÃO/RS</v>
      </c>
      <c r="B1" s="658"/>
      <c r="C1" s="658"/>
      <c r="D1" s="658"/>
      <c r="E1" s="658"/>
      <c r="F1" s="658"/>
      <c r="G1" s="659"/>
    </row>
    <row r="2" spans="1:11" ht="15.75">
      <c r="A2" s="657" t="s">
        <v>36</v>
      </c>
      <c r="B2" s="658"/>
      <c r="C2" s="658"/>
      <c r="D2" s="658"/>
      <c r="E2" s="658"/>
      <c r="F2" s="658"/>
      <c r="G2" s="659"/>
    </row>
    <row r="3" spans="1:11" ht="15.75">
      <c r="A3" s="657" t="str">
        <f>'Metas Cons'!A3:M3</f>
        <v>ANEXO DE METAS FISCAIS</v>
      </c>
      <c r="B3" s="658"/>
      <c r="C3" s="658"/>
      <c r="D3" s="658"/>
      <c r="E3" s="658"/>
      <c r="F3" s="658"/>
      <c r="G3" s="659"/>
    </row>
    <row r="4" spans="1:11" ht="15.75">
      <c r="A4" s="666" t="s">
        <v>489</v>
      </c>
      <c r="B4" s="667"/>
      <c r="C4" s="667"/>
      <c r="D4" s="667"/>
      <c r="E4" s="667"/>
      <c r="F4" s="667"/>
      <c r="G4" s="668"/>
    </row>
    <row r="5" spans="1:11" ht="15.75">
      <c r="A5" s="657" t="s">
        <v>601</v>
      </c>
      <c r="B5" s="658"/>
      <c r="C5" s="658"/>
      <c r="D5" s="658"/>
      <c r="E5" s="658"/>
      <c r="F5" s="658"/>
      <c r="G5" s="659"/>
    </row>
    <row r="6" spans="1:11" ht="15.75">
      <c r="A6" s="657"/>
      <c r="B6" s="658"/>
      <c r="C6" s="658"/>
      <c r="D6" s="658"/>
      <c r="E6" s="658"/>
      <c r="F6" s="658"/>
      <c r="G6" s="659"/>
    </row>
    <row r="7" spans="1:11" ht="15.75">
      <c r="A7" s="664" t="s">
        <v>496</v>
      </c>
      <c r="B7" s="665"/>
      <c r="C7" s="377"/>
      <c r="D7" s="377"/>
      <c r="E7" s="377"/>
      <c r="F7" s="377"/>
      <c r="G7" s="378">
        <v>1</v>
      </c>
    </row>
    <row r="8" spans="1:11" s="12" customFormat="1" ht="30" customHeight="1">
      <c r="A8" s="379" t="s">
        <v>86</v>
      </c>
      <c r="B8" s="379">
        <f>Parâmetros!C10</f>
        <v>2017</v>
      </c>
      <c r="C8" s="379" t="s">
        <v>13</v>
      </c>
      <c r="D8" s="379">
        <f>B8-1</f>
        <v>2016</v>
      </c>
      <c r="E8" s="379" t="s">
        <v>13</v>
      </c>
      <c r="F8" s="379">
        <f>D8-1</f>
        <v>2015</v>
      </c>
      <c r="G8" s="392" t="s">
        <v>13</v>
      </c>
    </row>
    <row r="9" spans="1:11" ht="15.75">
      <c r="A9" s="380" t="s">
        <v>87</v>
      </c>
      <c r="B9" s="381">
        <f>D12</f>
        <v>19411480.099999998</v>
      </c>
      <c r="C9" s="382">
        <f>IF(B12=0,"-",(B9/B12))</f>
        <v>0.24670115331569781</v>
      </c>
      <c r="D9" s="381">
        <f>F12</f>
        <v>25889905.869999997</v>
      </c>
      <c r="E9" s="382">
        <f>IF(D12=0,"-",(D9/D12))</f>
        <v>1.3337419782842834</v>
      </c>
      <c r="F9" s="381">
        <v>12744164.17</v>
      </c>
      <c r="G9" s="382">
        <f>IF(F12=0,"-",(F9/F12))</f>
        <v>0.492244515449063</v>
      </c>
    </row>
    <row r="10" spans="1:11" ht="15.75">
      <c r="A10" s="380" t="s">
        <v>41</v>
      </c>
      <c r="B10" s="383">
        <f>78684188.7-34819185.01</f>
        <v>43865003.690000005</v>
      </c>
      <c r="C10" s="382">
        <f>IF(B12=0,"-",(B10/B12))</f>
        <v>0.55748180688809723</v>
      </c>
      <c r="D10" s="383">
        <v>-13145741.699999999</v>
      </c>
      <c r="E10" s="382">
        <f>IF(D12=0,"-",(D10/D12))</f>
        <v>-0.67721480444966176</v>
      </c>
      <c r="F10" s="384"/>
      <c r="G10" s="382">
        <f>IF(F12=0,"-",(F10/F12))</f>
        <v>0</v>
      </c>
    </row>
    <row r="11" spans="1:11" ht="15.75">
      <c r="A11" s="385" t="s">
        <v>88</v>
      </c>
      <c r="B11" s="386">
        <v>15407704.91</v>
      </c>
      <c r="C11" s="387">
        <f>IF(B12=0,"-",(B11/B12))</f>
        <v>0.19581703979620493</v>
      </c>
      <c r="D11" s="386">
        <v>6667315.9299999997</v>
      </c>
      <c r="E11" s="387"/>
      <c r="F11" s="386">
        <v>13145741.699999999</v>
      </c>
      <c r="G11" s="387">
        <f>IF(F12=0,"-",(F11/F12))</f>
        <v>0.50775548455093711</v>
      </c>
    </row>
    <row r="12" spans="1:11" ht="15.75">
      <c r="A12" s="388" t="s">
        <v>89</v>
      </c>
      <c r="B12" s="389">
        <f>SUM(B9:B11)</f>
        <v>78684188.700000003</v>
      </c>
      <c r="C12" s="387">
        <f>IF(B12=0,"-",(B12/B12))</f>
        <v>1</v>
      </c>
      <c r="D12" s="389">
        <f>SUM(D9:D11)</f>
        <v>19411480.099999998</v>
      </c>
      <c r="E12" s="387">
        <f>IF(D12=0,"-",(D12/D12))</f>
        <v>1</v>
      </c>
      <c r="F12" s="389">
        <f>SUM(F9:F11)</f>
        <v>25889905.869999997</v>
      </c>
      <c r="G12" s="387">
        <f>IF(F12=0,"-",(F12/F12))</f>
        <v>1</v>
      </c>
      <c r="K12" s="461">
        <f>D12-19411480.1</f>
        <v>0</v>
      </c>
    </row>
    <row r="13" spans="1:11" ht="15.75">
      <c r="A13" s="663"/>
      <c r="B13" s="663"/>
      <c r="C13" s="663"/>
      <c r="D13" s="663"/>
      <c r="E13" s="663"/>
      <c r="F13" s="663"/>
      <c r="G13" s="663"/>
    </row>
    <row r="14" spans="1:11" ht="15.75" customHeight="1">
      <c r="A14" s="660" t="s">
        <v>90</v>
      </c>
      <c r="B14" s="660"/>
      <c r="C14" s="660"/>
      <c r="D14" s="660"/>
      <c r="E14" s="660"/>
      <c r="F14" s="660"/>
      <c r="G14" s="660"/>
    </row>
    <row r="15" spans="1:11" s="12" customFormat="1" ht="25.5" customHeight="1">
      <c r="A15" s="379" t="s">
        <v>86</v>
      </c>
      <c r="B15" s="379">
        <f>Parâmetros!C10</f>
        <v>2017</v>
      </c>
      <c r="C15" s="379" t="s">
        <v>13</v>
      </c>
      <c r="D15" s="379">
        <f>B15-1</f>
        <v>2016</v>
      </c>
      <c r="E15" s="379" t="s">
        <v>13</v>
      </c>
      <c r="F15" s="379">
        <f>D15-1</f>
        <v>2015</v>
      </c>
      <c r="G15" s="392" t="s">
        <v>13</v>
      </c>
    </row>
    <row r="16" spans="1:11" ht="15.75">
      <c r="A16" s="380" t="s">
        <v>87</v>
      </c>
      <c r="B16" s="381">
        <f>D19</f>
        <v>16233493.559999999</v>
      </c>
      <c r="C16" s="382">
        <f>IF(B19=0,"-",(B16/B19))</f>
        <v>0.53466422377327116</v>
      </c>
      <c r="D16" s="381">
        <f>F19</f>
        <v>7731660.8399999999</v>
      </c>
      <c r="E16" s="382">
        <f>IF(D19=0,"-",(D16/D19))</f>
        <v>0.47627830764975526</v>
      </c>
      <c r="F16" s="381">
        <v>-23112742.02</v>
      </c>
      <c r="G16" s="382">
        <f>IF(F19=0,"-",(F16/F19))</f>
        <v>-2.9893631521477864</v>
      </c>
    </row>
    <row r="17" spans="1:11" ht="15.75">
      <c r="A17" s="380" t="s">
        <v>41</v>
      </c>
      <c r="B17" s="384"/>
      <c r="C17" s="382">
        <f>IF(B19=0,"-",(B17/B19))</f>
        <v>0</v>
      </c>
      <c r="D17" s="384">
        <v>-23112742.02</v>
      </c>
      <c r="E17" s="382">
        <f>IF(D19=0,"-",(D17/D19))</f>
        <v>-1.4237688230554855</v>
      </c>
      <c r="F17" s="384"/>
      <c r="G17" s="382">
        <f>IF(F19=0,"-",(F17/F19))</f>
        <v>0</v>
      </c>
    </row>
    <row r="18" spans="1:11" ht="31.5">
      <c r="A18" s="385" t="s">
        <v>610</v>
      </c>
      <c r="B18" s="386">
        <v>14128540.85</v>
      </c>
      <c r="C18" s="387">
        <f>IF(B19=0,"-",(B18/B19))</f>
        <v>0.46533577622672884</v>
      </c>
      <c r="D18" s="386">
        <f>39346235.58-7731660.84</f>
        <v>31614574.739999998</v>
      </c>
      <c r="E18" s="387">
        <f>IF(D19=0,"-",(D18/D19))</f>
        <v>1.94749051540573</v>
      </c>
      <c r="F18" s="386">
        <v>30844402.859999999</v>
      </c>
      <c r="G18" s="387">
        <f>IF(F19=0,"-",(F18/F19))</f>
        <v>3.9893631521477864</v>
      </c>
    </row>
    <row r="19" spans="1:11" ht="15.75">
      <c r="A19" s="388" t="s">
        <v>89</v>
      </c>
      <c r="B19" s="389">
        <f>SUM(B16:B18)</f>
        <v>30362034.409999996</v>
      </c>
      <c r="C19" s="387">
        <f>IF(B19=0,"-",(B19/B19))</f>
        <v>1</v>
      </c>
      <c r="D19" s="389">
        <f>SUM(D16:D18)</f>
        <v>16233493.559999999</v>
      </c>
      <c r="E19" s="387">
        <f>IF(D19=0,"-",(D19/D19))</f>
        <v>1</v>
      </c>
      <c r="F19" s="389">
        <f>SUM(F16:F18)</f>
        <v>7731660.8399999999</v>
      </c>
      <c r="G19" s="387">
        <f>IF(F19=0,"-",(F19/F19))</f>
        <v>1</v>
      </c>
    </row>
    <row r="20" spans="1:11" ht="15.75">
      <c r="A20" s="661"/>
      <c r="B20" s="661"/>
      <c r="C20" s="661"/>
      <c r="D20" s="661"/>
      <c r="E20" s="661"/>
      <c r="F20" s="661"/>
      <c r="G20" s="661"/>
    </row>
    <row r="21" spans="1:11" ht="15.75" customHeight="1">
      <c r="A21" s="660" t="s">
        <v>180</v>
      </c>
      <c r="B21" s="660"/>
      <c r="C21" s="660"/>
      <c r="D21" s="660"/>
      <c r="E21" s="660"/>
      <c r="F21" s="660"/>
      <c r="G21" s="660"/>
      <c r="K21" s="460">
        <f>D19-16233493.56</f>
        <v>0</v>
      </c>
    </row>
    <row r="22" spans="1:11" s="12" customFormat="1" ht="25.5" customHeight="1">
      <c r="A22" s="379" t="s">
        <v>86</v>
      </c>
      <c r="B22" s="379">
        <f>Parâmetros!C10</f>
        <v>2017</v>
      </c>
      <c r="C22" s="379" t="s">
        <v>13</v>
      </c>
      <c r="D22" s="379">
        <f>B22-1</f>
        <v>2016</v>
      </c>
      <c r="E22" s="379" t="s">
        <v>13</v>
      </c>
      <c r="F22" s="379">
        <f>D22-1</f>
        <v>2015</v>
      </c>
      <c r="G22" s="392" t="s">
        <v>13</v>
      </c>
    </row>
    <row r="23" spans="1:11" ht="15.75">
      <c r="A23" s="380" t="s">
        <v>87</v>
      </c>
      <c r="B23" s="381">
        <f>B9+B16</f>
        <v>35644973.659999996</v>
      </c>
      <c r="C23" s="382">
        <f>IF(B26=0,"-",(B23/B26))</f>
        <v>0.32687948874710915</v>
      </c>
      <c r="D23" s="381">
        <f>D9+D16</f>
        <v>33621566.709999993</v>
      </c>
      <c r="E23" s="382">
        <f>IF(D26=0,"-",(D23/D26))</f>
        <v>0.94323443834465148</v>
      </c>
      <c r="F23" s="381">
        <f>F9+F16</f>
        <v>-10368577.85</v>
      </c>
      <c r="G23" s="382">
        <f>IF(F26=0,"-",(F23/F26))</f>
        <v>-0.30839068088150967</v>
      </c>
    </row>
    <row r="24" spans="1:11" ht="15.75">
      <c r="A24" s="380" t="s">
        <v>41</v>
      </c>
      <c r="B24" s="390">
        <f>B10+B17</f>
        <v>43865003.690000005</v>
      </c>
      <c r="C24" s="382">
        <f>IF(B26=0,"-",(B24/B26))</f>
        <v>0.40226064176245097</v>
      </c>
      <c r="D24" s="390">
        <f>D10+D17</f>
        <v>-36258483.719999999</v>
      </c>
      <c r="E24" s="382">
        <f>IF(D26=0,"-",(D24/D26))</f>
        <v>-1.0172116850429453</v>
      </c>
      <c r="F24" s="390">
        <f>F10+F17</f>
        <v>0</v>
      </c>
      <c r="G24" s="382">
        <f>IF(F26=0,"-",(F24/F26))</f>
        <v>0</v>
      </c>
    </row>
    <row r="25" spans="1:11" ht="15.75">
      <c r="A25" s="385" t="s">
        <v>88</v>
      </c>
      <c r="B25" s="391">
        <f>B11+B18</f>
        <v>29536245.759999998</v>
      </c>
      <c r="C25" s="387">
        <f>IF(B26=0,"-",(B25/B26))</f>
        <v>0.27085986949044</v>
      </c>
      <c r="D25" s="391">
        <f>D11+D18</f>
        <v>38281890.670000002</v>
      </c>
      <c r="E25" s="387">
        <f>IF(D26=0,"-",(D25/D26))</f>
        <v>1.0739772466982938</v>
      </c>
      <c r="F25" s="391">
        <f>F11+F18</f>
        <v>43990144.560000002</v>
      </c>
      <c r="G25" s="387">
        <f>IF(F26=0,"-",(F25/F26))</f>
        <v>1.3083906808815098</v>
      </c>
    </row>
    <row r="26" spans="1:11" ht="15.75">
      <c r="A26" s="388" t="s">
        <v>89</v>
      </c>
      <c r="B26" s="389">
        <f>SUM(B23:B25)</f>
        <v>109046223.10999998</v>
      </c>
      <c r="C26" s="387">
        <f>IF(B26=0,"-",(B26/B26))</f>
        <v>1</v>
      </c>
      <c r="D26" s="389">
        <f>SUM(D23:D25)</f>
        <v>35644973.659999996</v>
      </c>
      <c r="E26" s="387">
        <f>IF(D26=0,"-",(D26/D26))</f>
        <v>1</v>
      </c>
      <c r="F26" s="389">
        <f>SUM(F23:F25)</f>
        <v>33621566.710000001</v>
      </c>
      <c r="G26" s="387">
        <f>IF(F26=0,"-",(F26/F26))</f>
        <v>1</v>
      </c>
    </row>
    <row r="27" spans="1:11" ht="15.75">
      <c r="A27" s="655" t="s">
        <v>792</v>
      </c>
      <c r="B27" s="656"/>
      <c r="C27" s="656"/>
      <c r="D27" s="656"/>
      <c r="E27" s="656"/>
      <c r="F27" s="656"/>
      <c r="G27" s="656"/>
    </row>
  </sheetData>
  <mergeCells count="12">
    <mergeCell ref="A27:G27"/>
    <mergeCell ref="A6:G6"/>
    <mergeCell ref="A21:G21"/>
    <mergeCell ref="A20:G20"/>
    <mergeCell ref="A1:G1"/>
    <mergeCell ref="A2:G2"/>
    <mergeCell ref="A13:G13"/>
    <mergeCell ref="A14:G14"/>
    <mergeCell ref="A7:B7"/>
    <mergeCell ref="A3:G3"/>
    <mergeCell ref="A4:G4"/>
    <mergeCell ref="A5:G5"/>
  </mergeCells>
  <phoneticPr fontId="25" type="noConversion"/>
  <pageMargins left="0.78740157499999996" right="0.78740157499999996" top="0.984251969" bottom="0.984251969" header="0.49212598499999999" footer="0.49212598499999999"/>
  <pageSetup scale="84" orientation="portrait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15"/>
  <dimension ref="A1:D27"/>
  <sheetViews>
    <sheetView zoomScale="90" zoomScaleNormal="90" zoomScaleSheetLayoutView="90" workbookViewId="0">
      <selection activeCell="E36" sqref="E36"/>
    </sheetView>
  </sheetViews>
  <sheetFormatPr defaultRowHeight="14.25"/>
  <cols>
    <col min="1" max="1" width="64" style="13" customWidth="1"/>
    <col min="2" max="3" width="14.7109375" style="13" customWidth="1"/>
    <col min="4" max="4" width="15.7109375" style="13" customWidth="1"/>
    <col min="5" max="16384" width="9.140625" style="13"/>
  </cols>
  <sheetData>
    <row r="1" spans="1:4" ht="15.75">
      <c r="A1" s="662" t="str">
        <f>Parâmetros!A7</f>
        <v>Município de : PORTÃO/RS</v>
      </c>
      <c r="B1" s="658"/>
      <c r="C1" s="658"/>
      <c r="D1" s="659"/>
    </row>
    <row r="2" spans="1:4" ht="15.75">
      <c r="A2" s="657" t="s">
        <v>36</v>
      </c>
      <c r="B2" s="658"/>
      <c r="C2" s="658"/>
      <c r="D2" s="659"/>
    </row>
    <row r="3" spans="1:4" ht="15.75">
      <c r="A3" s="657" t="str">
        <f>'Metas Cons'!A3:M3</f>
        <v>ANEXO DE METAS FISCAIS</v>
      </c>
      <c r="B3" s="658"/>
      <c r="C3" s="658"/>
      <c r="D3" s="659"/>
    </row>
    <row r="4" spans="1:4" ht="15.75">
      <c r="A4" s="666" t="s">
        <v>490</v>
      </c>
      <c r="B4" s="667"/>
      <c r="C4" s="667"/>
      <c r="D4" s="668"/>
    </row>
    <row r="5" spans="1:4" ht="15.75">
      <c r="A5" s="657" t="s">
        <v>602</v>
      </c>
      <c r="B5" s="658"/>
      <c r="C5" s="658"/>
      <c r="D5" s="659"/>
    </row>
    <row r="6" spans="1:4" ht="15.75">
      <c r="A6" s="657"/>
      <c r="B6" s="658"/>
      <c r="C6" s="658"/>
      <c r="D6" s="659"/>
    </row>
    <row r="7" spans="1:4" ht="15.75">
      <c r="A7" s="393" t="s">
        <v>495</v>
      </c>
      <c r="B7" s="394"/>
      <c r="C7" s="394"/>
      <c r="D7" s="395">
        <v>1</v>
      </c>
    </row>
    <row r="8" spans="1:4" s="14" customFormat="1" ht="25.5" customHeight="1">
      <c r="A8" s="379" t="s">
        <v>91</v>
      </c>
      <c r="B8" s="379">
        <f>Parâmetros!C10</f>
        <v>2017</v>
      </c>
      <c r="C8" s="379">
        <f>B8-1</f>
        <v>2016</v>
      </c>
      <c r="D8" s="392">
        <f>C8-1</f>
        <v>2015</v>
      </c>
    </row>
    <row r="9" spans="1:4" s="14" customFormat="1" ht="25.5" customHeight="1">
      <c r="A9" s="396" t="s">
        <v>611</v>
      </c>
      <c r="B9" s="397"/>
      <c r="C9" s="397">
        <v>0</v>
      </c>
      <c r="D9" s="398">
        <v>0</v>
      </c>
    </row>
    <row r="10" spans="1:4" ht="12.75" customHeight="1">
      <c r="A10" s="399" t="s">
        <v>633</v>
      </c>
      <c r="B10" s="400">
        <f>B11+B12</f>
        <v>0</v>
      </c>
      <c r="C10" s="400">
        <f>C11+C12</f>
        <v>0</v>
      </c>
      <c r="D10" s="400">
        <f>D11+D12</f>
        <v>82265</v>
      </c>
    </row>
    <row r="11" spans="1:4" ht="12.75" customHeight="1">
      <c r="A11" s="401" t="s">
        <v>92</v>
      </c>
      <c r="B11" s="402">
        <f>Projeções!E83</f>
        <v>0</v>
      </c>
      <c r="C11" s="402">
        <f>Projeções!D83</f>
        <v>0</v>
      </c>
      <c r="D11" s="402">
        <f>Projeções!C83</f>
        <v>82265</v>
      </c>
    </row>
    <row r="12" spans="1:4" ht="12.75" customHeight="1">
      <c r="A12" s="403" t="s">
        <v>93</v>
      </c>
      <c r="B12" s="402">
        <f>Projeções!E84</f>
        <v>0</v>
      </c>
      <c r="C12" s="402">
        <f>Projeções!D84</f>
        <v>0</v>
      </c>
      <c r="D12" s="402">
        <f>Projeções!C84</f>
        <v>0</v>
      </c>
    </row>
    <row r="13" spans="1:4" ht="15.75" customHeight="1">
      <c r="A13" s="403" t="s">
        <v>142</v>
      </c>
      <c r="B13" s="404">
        <v>0</v>
      </c>
      <c r="C13" s="404">
        <v>0</v>
      </c>
      <c r="D13" s="404">
        <v>0</v>
      </c>
    </row>
    <row r="14" spans="1:4" ht="15.75">
      <c r="A14" s="669"/>
      <c r="B14" s="669"/>
      <c r="C14" s="669"/>
      <c r="D14" s="669"/>
    </row>
    <row r="15" spans="1:4" s="14" customFormat="1">
      <c r="A15" s="671" t="s">
        <v>162</v>
      </c>
      <c r="B15" s="673">
        <f>Parâmetros!C10</f>
        <v>2017</v>
      </c>
      <c r="C15" s="673">
        <f>B15-1</f>
        <v>2016</v>
      </c>
      <c r="D15" s="675">
        <f>C15-1</f>
        <v>2015</v>
      </c>
    </row>
    <row r="16" spans="1:4" s="14" customFormat="1">
      <c r="A16" s="672"/>
      <c r="B16" s="674"/>
      <c r="C16" s="674"/>
      <c r="D16" s="676"/>
    </row>
    <row r="17" spans="1:4" ht="31.5">
      <c r="A17" s="399" t="s">
        <v>612</v>
      </c>
      <c r="B17" s="405">
        <f>B18+B22</f>
        <v>0</v>
      </c>
      <c r="C17" s="405">
        <f>C18+C22</f>
        <v>0</v>
      </c>
      <c r="D17" s="405">
        <f>D18+D22</f>
        <v>0</v>
      </c>
    </row>
    <row r="18" spans="1:4" ht="15.75">
      <c r="A18" s="401" t="s">
        <v>94</v>
      </c>
      <c r="B18" s="406">
        <f>B19+B20+B21</f>
        <v>0</v>
      </c>
      <c r="C18" s="406">
        <f>C19+C20+C21</f>
        <v>0</v>
      </c>
      <c r="D18" s="407">
        <f>D19+D20+D21</f>
        <v>0</v>
      </c>
    </row>
    <row r="19" spans="1:4" ht="15.75">
      <c r="A19" s="401" t="s">
        <v>95</v>
      </c>
      <c r="B19" s="408">
        <v>0</v>
      </c>
      <c r="C19" s="408">
        <v>0</v>
      </c>
      <c r="D19" s="409">
        <v>0</v>
      </c>
    </row>
    <row r="20" spans="1:4" ht="15.75">
      <c r="A20" s="401" t="s">
        <v>96</v>
      </c>
      <c r="B20" s="408">
        <v>0</v>
      </c>
      <c r="C20" s="408">
        <v>0</v>
      </c>
      <c r="D20" s="409">
        <v>0</v>
      </c>
    </row>
    <row r="21" spans="1:4" ht="15.75">
      <c r="A21" s="401" t="s">
        <v>97</v>
      </c>
      <c r="B21" s="408">
        <v>0</v>
      </c>
      <c r="C21" s="408">
        <v>0</v>
      </c>
      <c r="D21" s="409">
        <v>0</v>
      </c>
    </row>
    <row r="22" spans="1:4" ht="15.75">
      <c r="A22" s="401" t="s">
        <v>98</v>
      </c>
      <c r="B22" s="406">
        <f>B23+B24</f>
        <v>0</v>
      </c>
      <c r="C22" s="406">
        <f>C23+C24</f>
        <v>0</v>
      </c>
      <c r="D22" s="407">
        <f>D23+D24</f>
        <v>0</v>
      </c>
    </row>
    <row r="23" spans="1:4" ht="15.75">
      <c r="A23" s="401" t="s">
        <v>99</v>
      </c>
      <c r="B23" s="408">
        <v>0</v>
      </c>
      <c r="C23" s="408">
        <v>0</v>
      </c>
      <c r="D23" s="409">
        <v>0</v>
      </c>
    </row>
    <row r="24" spans="1:4" ht="15.75">
      <c r="A24" s="403" t="s">
        <v>100</v>
      </c>
      <c r="B24" s="410">
        <v>0</v>
      </c>
      <c r="C24" s="410">
        <v>0</v>
      </c>
      <c r="D24" s="411">
        <v>0</v>
      </c>
    </row>
    <row r="25" spans="1:4" ht="15.75">
      <c r="A25" s="412" t="s">
        <v>101</v>
      </c>
      <c r="B25" s="413"/>
      <c r="C25" s="413"/>
      <c r="D25" s="414"/>
    </row>
    <row r="26" spans="1:4" ht="15.75">
      <c r="A26" s="415" t="s">
        <v>613</v>
      </c>
      <c r="B26" s="416">
        <f>C26+B10+B13-B17</f>
        <v>82265</v>
      </c>
      <c r="C26" s="416">
        <f>D26+C10+C13-C17</f>
        <v>82265</v>
      </c>
      <c r="D26" s="416">
        <f>D9+D10+D13-D17</f>
        <v>82265</v>
      </c>
    </row>
    <row r="27" spans="1:4" ht="15.75">
      <c r="A27" s="670" t="s">
        <v>792</v>
      </c>
      <c r="B27" s="670"/>
      <c r="C27" s="670"/>
      <c r="D27" s="670"/>
    </row>
  </sheetData>
  <mergeCells count="12">
    <mergeCell ref="A14:D14"/>
    <mergeCell ref="A27:D27"/>
    <mergeCell ref="A15:A16"/>
    <mergeCell ref="B15:B16"/>
    <mergeCell ref="C15:C16"/>
    <mergeCell ref="D15:D16"/>
    <mergeCell ref="A5:D5"/>
    <mergeCell ref="A6:D6"/>
    <mergeCell ref="A1:D1"/>
    <mergeCell ref="A2:D2"/>
    <mergeCell ref="A3:D3"/>
    <mergeCell ref="A4:D4"/>
  </mergeCells>
  <phoneticPr fontId="25" type="noConversion"/>
  <pageMargins left="0.78740157480314965" right="0.78740157480314965" top="0.98425196850393704" bottom="0.98425196850393704" header="0.51181102362204722" footer="0.51181102362204722"/>
  <pageSetup scale="84" orientation="landscape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188"/>
  <sheetViews>
    <sheetView topLeftCell="A70" workbookViewId="0">
      <selection activeCell="P22" sqref="P22"/>
    </sheetView>
  </sheetViews>
  <sheetFormatPr defaultRowHeight="11.25" customHeight="1"/>
  <cols>
    <col min="1" max="1" width="59.28515625" style="41" customWidth="1"/>
    <col min="2" max="2" width="13.85546875" style="41" customWidth="1"/>
    <col min="3" max="3" width="7.140625" style="41" customWidth="1"/>
    <col min="4" max="4" width="18.5703125" style="41" hidden="1" customWidth="1"/>
    <col min="5" max="5" width="12.85546875" style="41" hidden="1" customWidth="1"/>
    <col min="6" max="6" width="12.85546875" style="41" customWidth="1"/>
    <col min="7" max="7" width="7.140625" style="41" customWidth="1"/>
    <col min="8" max="8" width="12.85546875" style="41" customWidth="1"/>
    <col min="9" max="9" width="6.28515625" style="41" customWidth="1"/>
    <col min="10" max="12" width="9.140625" style="41"/>
    <col min="13" max="13" width="10.7109375" style="41" bestFit="1" customWidth="1"/>
    <col min="14" max="14" width="9.140625" style="41"/>
    <col min="15" max="15" width="9.28515625" style="41" bestFit="1" customWidth="1"/>
    <col min="16" max="16" width="11.5703125" style="41" customWidth="1"/>
    <col min="17" max="18" width="9.140625" style="41"/>
    <col min="19" max="19" width="17.28515625" style="41" customWidth="1"/>
    <col min="20" max="16384" width="9.140625" style="41"/>
  </cols>
  <sheetData>
    <row r="1" spans="1:22" ht="11.25" customHeight="1">
      <c r="A1" s="735" t="str">
        <f>Parâmetros!A7</f>
        <v>Município de : PORTÃO/RS</v>
      </c>
      <c r="B1" s="736"/>
      <c r="C1" s="736"/>
      <c r="D1" s="736"/>
      <c r="E1" s="736"/>
      <c r="F1" s="736"/>
      <c r="G1" s="736"/>
      <c r="H1" s="135"/>
      <c r="I1" s="135"/>
    </row>
    <row r="2" spans="1:22" s="34" customFormat="1" ht="11.25" customHeight="1">
      <c r="A2" s="736" t="s">
        <v>36</v>
      </c>
      <c r="B2" s="736"/>
      <c r="C2" s="736"/>
      <c r="D2" s="736"/>
      <c r="E2" s="736"/>
      <c r="F2" s="736"/>
      <c r="G2" s="736"/>
      <c r="H2" s="135"/>
      <c r="I2" s="135"/>
    </row>
    <row r="3" spans="1:22" ht="11.25" customHeight="1">
      <c r="A3" s="736" t="s">
        <v>154</v>
      </c>
      <c r="B3" s="736"/>
      <c r="C3" s="736"/>
      <c r="D3" s="736"/>
      <c r="E3" s="736"/>
      <c r="F3" s="736"/>
      <c r="G3" s="736"/>
      <c r="H3" s="135"/>
      <c r="I3" s="135"/>
    </row>
    <row r="4" spans="1:22" ht="11.25" customHeight="1">
      <c r="A4" s="737" t="s">
        <v>472</v>
      </c>
      <c r="B4" s="737"/>
      <c r="C4" s="737"/>
      <c r="D4" s="737"/>
      <c r="E4" s="737"/>
      <c r="F4" s="737"/>
      <c r="G4" s="737"/>
      <c r="H4" s="135"/>
      <c r="I4" s="135"/>
    </row>
    <row r="5" spans="1:22" s="34" customFormat="1" ht="11.25" customHeight="1">
      <c r="A5" s="736" t="s">
        <v>598</v>
      </c>
      <c r="B5" s="736"/>
      <c r="C5" s="736"/>
      <c r="D5" s="736"/>
      <c r="E5" s="736"/>
      <c r="F5" s="736"/>
      <c r="G5" s="736"/>
      <c r="H5" s="135"/>
      <c r="I5" s="135"/>
    </row>
    <row r="6" spans="1:22" s="34" customFormat="1" ht="5.25" customHeight="1">
      <c r="A6" s="738"/>
      <c r="B6" s="738"/>
      <c r="C6" s="738"/>
      <c r="D6" s="738"/>
      <c r="E6" s="738"/>
      <c r="F6" s="738"/>
      <c r="G6" s="739"/>
      <c r="H6" s="135"/>
      <c r="I6" s="135"/>
    </row>
    <row r="7" spans="1:22" s="35" customFormat="1" ht="11.25" customHeight="1" thickBot="1">
      <c r="A7" s="721" t="s">
        <v>411</v>
      </c>
      <c r="B7" s="721"/>
      <c r="C7" s="721"/>
      <c r="D7" s="721"/>
      <c r="E7" s="721"/>
      <c r="F7" s="721"/>
      <c r="G7" s="721"/>
      <c r="H7" s="719">
        <v>1</v>
      </c>
      <c r="I7" s="719"/>
    </row>
    <row r="8" spans="1:22" s="35" customFormat="1" ht="11.25" customHeight="1" thickBot="1">
      <c r="A8" s="720" t="s">
        <v>412</v>
      </c>
      <c r="B8" s="720"/>
      <c r="C8" s="720"/>
      <c r="D8" s="720"/>
      <c r="E8" s="720"/>
      <c r="F8" s="720"/>
      <c r="G8" s="720"/>
      <c r="H8" s="720"/>
      <c r="I8" s="720"/>
      <c r="M8" s="419" t="s">
        <v>471</v>
      </c>
      <c r="N8" s="419"/>
      <c r="O8" s="419"/>
      <c r="P8" s="419"/>
      <c r="Q8" s="419"/>
      <c r="R8" s="419"/>
      <c r="S8" s="419"/>
      <c r="T8" s="34"/>
      <c r="U8" s="34"/>
      <c r="V8" s="34"/>
    </row>
    <row r="9" spans="1:22" s="34" customFormat="1" ht="11.25" customHeight="1">
      <c r="A9" s="716" t="s">
        <v>413</v>
      </c>
      <c r="B9" s="717"/>
      <c r="C9" s="717"/>
      <c r="D9" s="717"/>
      <c r="E9" s="717"/>
      <c r="F9" s="717"/>
      <c r="G9" s="717"/>
      <c r="H9" s="717"/>
      <c r="I9" s="717"/>
      <c r="P9" s="35"/>
      <c r="Q9" s="173" t="s">
        <v>154</v>
      </c>
      <c r="R9" s="174"/>
    </row>
    <row r="10" spans="1:22" s="34" customFormat="1" ht="11.25" customHeight="1">
      <c r="A10" s="175"/>
      <c r="B10" s="680">
        <f>Parâmetros!C10</f>
        <v>2017</v>
      </c>
      <c r="C10" s="693"/>
      <c r="D10" s="693"/>
      <c r="E10" s="681"/>
      <c r="F10" s="684">
        <f>B10-1</f>
        <v>2016</v>
      </c>
      <c r="G10" s="685"/>
      <c r="H10" s="684">
        <f>F10-1</f>
        <v>2015</v>
      </c>
      <c r="I10" s="685"/>
      <c r="M10" s="35"/>
      <c r="N10" s="35"/>
      <c r="O10" s="174"/>
      <c r="P10" s="35"/>
      <c r="Q10" s="173" t="s">
        <v>781</v>
      </c>
      <c r="R10" s="174"/>
      <c r="S10" s="174"/>
    </row>
    <row r="11" spans="1:22" s="34" customFormat="1" ht="11.25" customHeight="1">
      <c r="A11" s="176" t="s">
        <v>415</v>
      </c>
      <c r="B11" s="711">
        <f>B12+B21+B33</f>
        <v>19517050.689999998</v>
      </c>
      <c r="C11" s="714"/>
      <c r="D11" s="177"/>
      <c r="E11" s="178"/>
      <c r="F11" s="711">
        <f>F12+F21+F33</f>
        <v>20251135.5</v>
      </c>
      <c r="G11" s="714"/>
      <c r="H11" s="711">
        <f>H12+H21+H33</f>
        <v>11853593.369999999</v>
      </c>
      <c r="I11" s="714"/>
      <c r="M11" s="35"/>
      <c r="N11" s="35"/>
      <c r="O11" s="174"/>
      <c r="Q11" s="173" t="s">
        <v>782</v>
      </c>
      <c r="R11" s="174"/>
      <c r="S11" s="174"/>
      <c r="T11" s="35"/>
      <c r="U11" s="35"/>
      <c r="V11" s="35"/>
    </row>
    <row r="12" spans="1:22" s="34" customFormat="1" ht="11.25" customHeight="1">
      <c r="A12" s="179" t="s">
        <v>416</v>
      </c>
      <c r="B12" s="711">
        <v>56388.06</v>
      </c>
      <c r="C12" s="711"/>
      <c r="D12" s="180"/>
      <c r="E12" s="180"/>
      <c r="F12" s="711">
        <v>78218.64</v>
      </c>
      <c r="G12" s="711"/>
      <c r="H12" s="711">
        <v>123617.67</v>
      </c>
      <c r="I12" s="711"/>
      <c r="M12" s="420" t="s">
        <v>783</v>
      </c>
      <c r="N12" s="421"/>
      <c r="O12" s="421"/>
      <c r="P12" s="421"/>
      <c r="Q12" s="422"/>
      <c r="R12" s="422"/>
      <c r="S12" s="423">
        <v>1</v>
      </c>
    </row>
    <row r="13" spans="1:22" s="34" customFormat="1" ht="7.5" customHeight="1">
      <c r="A13" s="181" t="s">
        <v>417</v>
      </c>
      <c r="B13" s="711"/>
      <c r="C13" s="711"/>
      <c r="D13" s="180"/>
      <c r="E13" s="180"/>
      <c r="F13" s="711"/>
      <c r="G13" s="711"/>
      <c r="H13" s="711"/>
      <c r="I13" s="711"/>
      <c r="M13" s="424" t="s">
        <v>102</v>
      </c>
      <c r="N13" s="425" t="s">
        <v>784</v>
      </c>
      <c r="O13" s="426"/>
      <c r="P13" s="427" t="s">
        <v>785</v>
      </c>
      <c r="Q13" s="425" t="s">
        <v>786</v>
      </c>
      <c r="R13" s="426"/>
      <c r="S13" s="428" t="s">
        <v>101</v>
      </c>
    </row>
    <row r="14" spans="1:22" s="34" customFormat="1" ht="11.25" customHeight="1">
      <c r="A14" s="182" t="s">
        <v>418</v>
      </c>
      <c r="B14" s="711"/>
      <c r="C14" s="711"/>
      <c r="D14" s="180"/>
      <c r="E14" s="180"/>
      <c r="F14" s="711"/>
      <c r="G14" s="711"/>
      <c r="H14" s="711"/>
      <c r="I14" s="711"/>
      <c r="M14" s="429"/>
      <c r="N14" s="430"/>
      <c r="O14" s="431"/>
      <c r="P14" s="430"/>
      <c r="Q14" s="430"/>
      <c r="R14" s="431"/>
      <c r="S14" s="432" t="s">
        <v>787</v>
      </c>
    </row>
    <row r="15" spans="1:22" s="34" customFormat="1" ht="11.25" customHeight="1">
      <c r="A15" s="182" t="s">
        <v>419</v>
      </c>
      <c r="B15" s="711"/>
      <c r="C15" s="711"/>
      <c r="D15" s="180"/>
      <c r="E15" s="180"/>
      <c r="F15" s="711"/>
      <c r="G15" s="711"/>
      <c r="H15" s="711"/>
      <c r="I15" s="711"/>
      <c r="M15" s="432"/>
      <c r="N15" s="433" t="s">
        <v>64</v>
      </c>
      <c r="O15" s="434"/>
      <c r="P15" s="435" t="s">
        <v>66</v>
      </c>
      <c r="Q15" s="433" t="s">
        <v>788</v>
      </c>
      <c r="R15" s="434"/>
      <c r="S15" s="432" t="s">
        <v>789</v>
      </c>
    </row>
    <row r="16" spans="1:22" s="34" customFormat="1" ht="11.25" customHeight="1">
      <c r="A16" s="182" t="s">
        <v>420</v>
      </c>
      <c r="B16" s="711"/>
      <c r="C16" s="711"/>
      <c r="D16" s="180"/>
      <c r="E16" s="180"/>
      <c r="F16" s="711"/>
      <c r="G16" s="711"/>
      <c r="H16" s="711"/>
      <c r="I16" s="711"/>
      <c r="M16" s="436"/>
      <c r="N16" s="437"/>
      <c r="O16" s="438"/>
      <c r="P16" s="439"/>
      <c r="Q16" s="439"/>
      <c r="R16" s="450"/>
      <c r="S16" s="436" t="s">
        <v>790</v>
      </c>
    </row>
    <row r="17" spans="1:19" s="34" customFormat="1" ht="12.75" customHeight="1">
      <c r="A17" s="181" t="s">
        <v>421</v>
      </c>
      <c r="B17" s="711"/>
      <c r="C17" s="711"/>
      <c r="D17" s="180"/>
      <c r="E17" s="180"/>
      <c r="F17" s="711"/>
      <c r="G17" s="711"/>
      <c r="H17" s="711"/>
      <c r="I17" s="711"/>
      <c r="N17" s="457"/>
    </row>
    <row r="18" spans="1:19" s="34" customFormat="1" ht="11.25" customHeight="1">
      <c r="A18" s="182" t="s">
        <v>418</v>
      </c>
      <c r="B18" s="711"/>
      <c r="C18" s="711"/>
      <c r="D18" s="180"/>
      <c r="E18" s="180"/>
      <c r="F18" s="711"/>
      <c r="G18" s="711"/>
      <c r="H18" s="711"/>
      <c r="I18" s="711"/>
      <c r="M18" s="440">
        <v>2017</v>
      </c>
      <c r="N18" s="449"/>
      <c r="O18" s="458">
        <v>14532778</v>
      </c>
      <c r="P18" s="441">
        <v>8152144</v>
      </c>
      <c r="Q18" s="741">
        <v>6380634</v>
      </c>
      <c r="R18" s="742"/>
      <c r="S18" s="442">
        <f>Q18</f>
        <v>6380634</v>
      </c>
    </row>
    <row r="19" spans="1:19" s="34" customFormat="1" ht="11.25" customHeight="1">
      <c r="A19" s="182" t="s">
        <v>419</v>
      </c>
      <c r="B19" s="711"/>
      <c r="C19" s="711"/>
      <c r="D19" s="180"/>
      <c r="E19" s="180"/>
      <c r="F19" s="711"/>
      <c r="G19" s="711"/>
      <c r="H19" s="711"/>
      <c r="I19" s="711"/>
      <c r="M19" s="440">
        <v>2018</v>
      </c>
      <c r="N19" s="449"/>
      <c r="O19" s="458">
        <v>15909694.65</v>
      </c>
      <c r="P19" s="441">
        <v>10525599.76</v>
      </c>
      <c r="Q19" s="741">
        <v>5384094.8899999997</v>
      </c>
      <c r="R19" s="742"/>
      <c r="S19" s="442">
        <v>12147566.93</v>
      </c>
    </row>
    <row r="20" spans="1:19" s="34" customFormat="1" ht="11.25" customHeight="1">
      <c r="A20" s="182"/>
      <c r="B20" s="711"/>
      <c r="C20" s="711"/>
      <c r="D20" s="180"/>
      <c r="E20" s="180"/>
      <c r="F20" s="711"/>
      <c r="G20" s="711"/>
      <c r="H20" s="711"/>
      <c r="I20" s="711"/>
      <c r="M20" s="440">
        <v>2019</v>
      </c>
      <c r="N20" s="443"/>
      <c r="O20" s="459">
        <v>15988256.5</v>
      </c>
      <c r="P20" s="444">
        <v>10908828.32</v>
      </c>
      <c r="Q20" s="741">
        <v>5079428.18</v>
      </c>
      <c r="R20" s="742"/>
      <c r="S20" s="444">
        <v>17955849.129999999</v>
      </c>
    </row>
    <row r="21" spans="1:19" s="34" customFormat="1" ht="11.25" customHeight="1">
      <c r="A21" s="183" t="s">
        <v>422</v>
      </c>
      <c r="B21" s="711">
        <f>B23+B30</f>
        <v>8372821.3799999999</v>
      </c>
      <c r="C21" s="711"/>
      <c r="D21" s="180"/>
      <c r="E21" s="180"/>
      <c r="F21" s="711">
        <f>F23+F30</f>
        <v>7976531.4700000007</v>
      </c>
      <c r="G21" s="711"/>
      <c r="H21" s="711">
        <f>H22+H30</f>
        <v>4586654.1499999994</v>
      </c>
      <c r="I21" s="711"/>
      <c r="M21" s="440">
        <v>2020</v>
      </c>
      <c r="N21" s="443"/>
      <c r="O21" s="459">
        <v>16109670.279999999</v>
      </c>
      <c r="P21" s="444">
        <v>11501090.640000001</v>
      </c>
      <c r="Q21" s="741">
        <v>4608579.6399999997</v>
      </c>
      <c r="R21" s="742"/>
      <c r="S21" s="444">
        <v>23641779.719999999</v>
      </c>
    </row>
    <row r="22" spans="1:19" s="34" customFormat="1" ht="11.25" customHeight="1">
      <c r="A22" s="181" t="s">
        <v>417</v>
      </c>
      <c r="B22" s="711">
        <f>B23</f>
        <v>6254707.0800000001</v>
      </c>
      <c r="C22" s="711"/>
      <c r="D22" s="180"/>
      <c r="E22" s="180"/>
      <c r="F22" s="711">
        <f>F23</f>
        <v>6374175.7200000007</v>
      </c>
      <c r="G22" s="711"/>
      <c r="H22" s="711">
        <f>H23</f>
        <v>4319714.93</v>
      </c>
      <c r="I22" s="711"/>
      <c r="M22" s="440">
        <v>2021</v>
      </c>
      <c r="N22" s="443"/>
      <c r="O22" s="459">
        <v>16209658.09</v>
      </c>
      <c r="P22" s="444">
        <v>11988836.08</v>
      </c>
      <c r="Q22" s="741">
        <v>4220822.01</v>
      </c>
      <c r="R22" s="742"/>
      <c r="S22" s="444">
        <v>29281108.510000002</v>
      </c>
    </row>
    <row r="23" spans="1:19" s="34" customFormat="1" ht="11.25" customHeight="1">
      <c r="A23" s="182" t="s">
        <v>418</v>
      </c>
      <c r="B23" s="711">
        <f>4521392.38+1733314.7</f>
        <v>6254707.0800000001</v>
      </c>
      <c r="C23" s="711"/>
      <c r="D23" s="180"/>
      <c r="E23" s="180"/>
      <c r="F23" s="711">
        <f>4871717.74+1502457.98</f>
        <v>6374175.7200000007</v>
      </c>
      <c r="G23" s="711"/>
      <c r="H23" s="711">
        <v>4319714.93</v>
      </c>
      <c r="I23" s="711"/>
      <c r="M23" s="440">
        <v>2022</v>
      </c>
      <c r="N23" s="443"/>
      <c r="O23" s="459">
        <v>16323929.880000001</v>
      </c>
      <c r="P23" s="444">
        <v>12546259.439999999</v>
      </c>
      <c r="Q23" s="741">
        <v>3777670.44</v>
      </c>
      <c r="R23" s="742"/>
      <c r="S23" s="444">
        <v>34815645.469999999</v>
      </c>
    </row>
    <row r="24" spans="1:19" s="34" customFormat="1" ht="11.25" customHeight="1">
      <c r="A24" s="182" t="s">
        <v>419</v>
      </c>
      <c r="B24" s="711"/>
      <c r="C24" s="711"/>
      <c r="D24" s="180"/>
      <c r="E24" s="180"/>
      <c r="F24" s="711"/>
      <c r="G24" s="711"/>
      <c r="H24" s="711"/>
      <c r="I24" s="711"/>
      <c r="M24" s="440">
        <v>2023</v>
      </c>
      <c r="N24" s="445"/>
      <c r="O24" s="458">
        <v>16423917.699999999</v>
      </c>
      <c r="P24" s="444">
        <v>13034004.880000001</v>
      </c>
      <c r="Q24" s="741">
        <v>3389912.82</v>
      </c>
      <c r="R24" s="742"/>
      <c r="S24" s="444">
        <v>40294497.020000003</v>
      </c>
    </row>
    <row r="25" spans="1:19" s="34" customFormat="1" ht="11.25" customHeight="1">
      <c r="A25" s="182" t="s">
        <v>420</v>
      </c>
      <c r="B25" s="711"/>
      <c r="C25" s="711"/>
      <c r="D25" s="180"/>
      <c r="E25" s="180"/>
      <c r="F25" s="711"/>
      <c r="G25" s="711"/>
      <c r="H25" s="711"/>
      <c r="I25" s="711"/>
      <c r="M25" s="440">
        <v>2024</v>
      </c>
      <c r="N25" s="443"/>
      <c r="O25" s="459">
        <v>16495337.57</v>
      </c>
      <c r="P25" s="444">
        <v>13382394.48</v>
      </c>
      <c r="Q25" s="741">
        <v>3112943.09</v>
      </c>
      <c r="R25" s="742"/>
      <c r="S25" s="444">
        <v>45825109.920000002</v>
      </c>
    </row>
    <row r="26" spans="1:19" s="34" customFormat="1" ht="11.25" customHeight="1">
      <c r="A26" s="181" t="s">
        <v>421</v>
      </c>
      <c r="B26" s="711"/>
      <c r="C26" s="711"/>
      <c r="D26" s="180"/>
      <c r="E26" s="180"/>
      <c r="F26" s="711"/>
      <c r="G26" s="711"/>
      <c r="H26" s="711"/>
      <c r="I26" s="711"/>
      <c r="M26" s="440">
        <v>2025</v>
      </c>
      <c r="N26" s="443"/>
      <c r="O26" s="459">
        <v>16623893.33</v>
      </c>
      <c r="P26" s="444">
        <v>14009495.76</v>
      </c>
      <c r="Q26" s="741">
        <v>2614397.5699999998</v>
      </c>
      <c r="R26" s="742"/>
      <c r="S26" s="444">
        <v>51189014.090000004</v>
      </c>
    </row>
    <row r="27" spans="1:19" s="34" customFormat="1" ht="11.25" customHeight="1">
      <c r="A27" s="182" t="s">
        <v>418</v>
      </c>
      <c r="B27" s="711"/>
      <c r="C27" s="711"/>
      <c r="D27" s="180"/>
      <c r="E27" s="180"/>
      <c r="F27" s="711"/>
      <c r="G27" s="711"/>
      <c r="H27" s="711"/>
      <c r="I27" s="711"/>
      <c r="M27" s="440">
        <v>2026</v>
      </c>
      <c r="N27" s="443"/>
      <c r="O27" s="459">
        <v>16766733.07</v>
      </c>
      <c r="P27" s="444">
        <v>14706274.960000001</v>
      </c>
      <c r="Q27" s="741">
        <v>2060458.11</v>
      </c>
      <c r="R27" s="742"/>
      <c r="S27" s="444">
        <v>56320813.039999999</v>
      </c>
    </row>
    <row r="28" spans="1:19" s="34" customFormat="1" ht="11.25" customHeight="1">
      <c r="A28" s="182" t="s">
        <v>419</v>
      </c>
      <c r="B28" s="711"/>
      <c r="C28" s="711"/>
      <c r="D28" s="180"/>
      <c r="E28" s="180"/>
      <c r="F28" s="711"/>
      <c r="G28" s="711"/>
      <c r="H28" s="711"/>
      <c r="I28" s="711"/>
      <c r="M28" s="440">
        <v>2027</v>
      </c>
      <c r="N28" s="443"/>
      <c r="O28" s="459">
        <v>16916714.789999999</v>
      </c>
      <c r="P28" s="444">
        <v>15437893.119999999</v>
      </c>
      <c r="Q28" s="741">
        <v>1478821.67</v>
      </c>
      <c r="R28" s="742"/>
      <c r="S28" s="444">
        <v>61178883.490000002</v>
      </c>
    </row>
    <row r="29" spans="1:19" s="34" customFormat="1" ht="11.25" customHeight="1">
      <c r="A29" s="182" t="s">
        <v>420</v>
      </c>
      <c r="B29" s="711"/>
      <c r="C29" s="711"/>
      <c r="D29" s="180"/>
      <c r="E29" s="180"/>
      <c r="F29" s="711"/>
      <c r="G29" s="711"/>
      <c r="H29" s="711"/>
      <c r="I29" s="711"/>
      <c r="M29" s="440">
        <v>2028</v>
      </c>
      <c r="N29" s="443"/>
      <c r="O29" s="459">
        <v>14863110.84</v>
      </c>
      <c r="P29" s="444">
        <v>15855960.640000001</v>
      </c>
      <c r="Q29" s="741">
        <v>-992849.8</v>
      </c>
      <c r="R29" s="742"/>
      <c r="S29" s="444">
        <v>63856766.689999998</v>
      </c>
    </row>
    <row r="30" spans="1:19" s="34" customFormat="1" ht="11.25" customHeight="1">
      <c r="A30" s="181" t="s">
        <v>423</v>
      </c>
      <c r="B30" s="711">
        <v>2118114.2999999998</v>
      </c>
      <c r="C30" s="711"/>
      <c r="D30" s="180"/>
      <c r="E30" s="180"/>
      <c r="F30" s="711">
        <v>1602355.75</v>
      </c>
      <c r="G30" s="711"/>
      <c r="H30" s="711">
        <v>266939.21999999997</v>
      </c>
      <c r="I30" s="711"/>
      <c r="M30" s="440">
        <v>2029</v>
      </c>
      <c r="N30" s="443"/>
      <c r="O30" s="459">
        <v>14998808.59</v>
      </c>
      <c r="P30" s="444">
        <v>16517900.880000001</v>
      </c>
      <c r="Q30" s="741">
        <v>-1519092.29</v>
      </c>
      <c r="R30" s="742"/>
      <c r="S30" s="444">
        <v>66169080.399999999</v>
      </c>
    </row>
    <row r="31" spans="1:19" s="34" customFormat="1" ht="11.25" customHeight="1">
      <c r="A31" s="179" t="s">
        <v>239</v>
      </c>
      <c r="B31" s="711"/>
      <c r="C31" s="711"/>
      <c r="D31" s="180"/>
      <c r="E31" s="180"/>
      <c r="F31" s="711"/>
      <c r="G31" s="711"/>
      <c r="H31" s="711"/>
      <c r="I31" s="711"/>
      <c r="M31" s="440">
        <v>2030</v>
      </c>
      <c r="N31" s="443"/>
      <c r="O31" s="459">
        <v>15155932.300000001</v>
      </c>
      <c r="P31" s="444">
        <v>17284358</v>
      </c>
      <c r="Q31" s="741">
        <v>-2128425.7000000002</v>
      </c>
      <c r="R31" s="742"/>
      <c r="S31" s="444">
        <v>68010799.519999996</v>
      </c>
    </row>
    <row r="32" spans="1:19" s="34" customFormat="1" ht="11.25" customHeight="1">
      <c r="A32" s="181" t="s">
        <v>424</v>
      </c>
      <c r="B32" s="711"/>
      <c r="C32" s="711"/>
      <c r="D32" s="180"/>
      <c r="E32" s="180"/>
      <c r="F32" s="711"/>
      <c r="G32" s="711"/>
      <c r="H32" s="711"/>
      <c r="I32" s="711"/>
      <c r="M32" s="440">
        <v>2031</v>
      </c>
      <c r="N32" s="443"/>
      <c r="O32" s="459">
        <v>15348765.939999999</v>
      </c>
      <c r="P32" s="444">
        <v>18225009.920000002</v>
      </c>
      <c r="Q32" s="741">
        <v>-2876243.98</v>
      </c>
      <c r="R32" s="742"/>
      <c r="S32" s="444">
        <v>69215203.519999996</v>
      </c>
    </row>
    <row r="33" spans="1:22" s="34" customFormat="1" ht="11.25" customHeight="1">
      <c r="A33" s="181" t="s">
        <v>425</v>
      </c>
      <c r="B33" s="711">
        <v>11087841.25</v>
      </c>
      <c r="C33" s="711"/>
      <c r="D33" s="180"/>
      <c r="E33" s="180"/>
      <c r="F33" s="711">
        <v>12196385.390000001</v>
      </c>
      <c r="G33" s="711"/>
      <c r="H33" s="711">
        <v>7143321.5499999998</v>
      </c>
      <c r="I33" s="711"/>
      <c r="M33" s="440">
        <v>2032</v>
      </c>
      <c r="N33" s="443"/>
      <c r="O33" s="459">
        <v>15605877.460000001</v>
      </c>
      <c r="P33" s="444">
        <v>19479212.48</v>
      </c>
      <c r="Q33" s="741">
        <v>-3873335.02</v>
      </c>
      <c r="R33" s="742"/>
      <c r="S33" s="444">
        <v>69494780.709999993</v>
      </c>
    </row>
    <row r="34" spans="1:22" s="34" customFormat="1" ht="11.25" customHeight="1">
      <c r="A34" s="181" t="s">
        <v>426</v>
      </c>
      <c r="B34" s="711"/>
      <c r="C34" s="711"/>
      <c r="D34" s="180"/>
      <c r="E34" s="180"/>
      <c r="F34" s="711"/>
      <c r="G34" s="711"/>
      <c r="H34" s="711"/>
      <c r="I34" s="711"/>
      <c r="M34" s="440">
        <v>2033</v>
      </c>
      <c r="N34" s="443"/>
      <c r="O34" s="459">
        <v>15727291.24</v>
      </c>
      <c r="P34" s="444">
        <v>20071474.800000001</v>
      </c>
      <c r="Q34" s="741">
        <v>-4344183.5599999996</v>
      </c>
      <c r="R34" s="742"/>
      <c r="S34" s="444">
        <v>69320283.989999995</v>
      </c>
    </row>
    <row r="35" spans="1:22" s="34" customFormat="1" ht="11.25" customHeight="1">
      <c r="A35" s="179" t="s">
        <v>262</v>
      </c>
      <c r="B35" s="711"/>
      <c r="C35" s="711"/>
      <c r="D35" s="180"/>
      <c r="E35" s="180"/>
      <c r="F35" s="711"/>
      <c r="G35" s="711"/>
      <c r="H35" s="711"/>
      <c r="I35" s="711"/>
      <c r="M35" s="440">
        <v>2034</v>
      </c>
      <c r="N35" s="443"/>
      <c r="O35" s="459">
        <v>15848705.02</v>
      </c>
      <c r="P35" s="444">
        <v>20663737.120000001</v>
      </c>
      <c r="Q35" s="741">
        <v>-4815032.0999999996</v>
      </c>
      <c r="R35" s="742"/>
      <c r="S35" s="444">
        <v>68664468.930000007</v>
      </c>
    </row>
    <row r="36" spans="1:22" s="34" customFormat="1" ht="11.25" customHeight="1">
      <c r="A36" s="179" t="s">
        <v>427</v>
      </c>
      <c r="B36" s="711"/>
      <c r="C36" s="711"/>
      <c r="D36" s="180"/>
      <c r="E36" s="180"/>
      <c r="F36" s="711"/>
      <c r="G36" s="711"/>
      <c r="H36" s="711"/>
      <c r="I36" s="711"/>
      <c r="M36" s="440">
        <v>2035</v>
      </c>
      <c r="N36" s="443"/>
      <c r="O36" s="459">
        <v>15927266.869999999</v>
      </c>
      <c r="P36" s="444">
        <v>21046965.68</v>
      </c>
      <c r="Q36" s="741">
        <v>-5119698.8099999996</v>
      </c>
      <c r="R36" s="742"/>
      <c r="S36" s="444">
        <v>67664638.260000005</v>
      </c>
    </row>
    <row r="37" spans="1:22" s="34" customFormat="1" ht="11.25" customHeight="1">
      <c r="A37" s="179" t="s">
        <v>318</v>
      </c>
      <c r="B37" s="711"/>
      <c r="C37" s="711"/>
      <c r="D37" s="180"/>
      <c r="E37" s="180"/>
      <c r="F37" s="711"/>
      <c r="G37" s="711"/>
      <c r="H37" s="711"/>
      <c r="I37" s="711"/>
      <c r="M37" s="440">
        <v>2036</v>
      </c>
      <c r="N37" s="443"/>
      <c r="O37" s="459">
        <v>16005828.73</v>
      </c>
      <c r="P37" s="444">
        <v>21430194.239999998</v>
      </c>
      <c r="Q37" s="741">
        <v>-5424365.5099999998</v>
      </c>
      <c r="R37" s="742"/>
      <c r="S37" s="444">
        <v>66300151.039999999</v>
      </c>
    </row>
    <row r="38" spans="1:22" s="34" customFormat="1" ht="11.25" customHeight="1">
      <c r="A38" s="181" t="s">
        <v>428</v>
      </c>
      <c r="B38" s="711"/>
      <c r="C38" s="711"/>
      <c r="D38" s="180"/>
      <c r="E38" s="180"/>
      <c r="F38" s="711"/>
      <c r="G38" s="711"/>
      <c r="H38" s="711"/>
      <c r="I38" s="711"/>
      <c r="M38" s="440">
        <v>2037</v>
      </c>
      <c r="N38" s="443"/>
      <c r="O38" s="459">
        <v>16170094.42</v>
      </c>
      <c r="P38" s="444">
        <v>22231490.32</v>
      </c>
      <c r="Q38" s="741">
        <v>-6061395.9000000004</v>
      </c>
      <c r="R38" s="742"/>
      <c r="S38" s="444">
        <v>64216764.200000003</v>
      </c>
    </row>
    <row r="39" spans="1:22" s="34" customFormat="1" ht="11.25" customHeight="1">
      <c r="A39" s="181" t="s">
        <v>324</v>
      </c>
      <c r="B39" s="711"/>
      <c r="C39" s="711"/>
      <c r="D39" s="180"/>
      <c r="E39" s="180"/>
      <c r="F39" s="711"/>
      <c r="G39" s="711"/>
      <c r="H39" s="711"/>
      <c r="I39" s="711"/>
      <c r="M39" s="440">
        <v>2038</v>
      </c>
      <c r="N39" s="443"/>
      <c r="O39" s="459">
        <v>15991544.75</v>
      </c>
      <c r="P39" s="444">
        <v>21360516.32</v>
      </c>
      <c r="Q39" s="741">
        <v>-5368971.5700000003</v>
      </c>
      <c r="R39" s="742"/>
      <c r="S39" s="444">
        <v>62700798.479999997</v>
      </c>
      <c r="T39" s="35"/>
      <c r="U39" s="35"/>
      <c r="V39" s="35"/>
    </row>
    <row r="40" spans="1:22" s="35" customFormat="1" ht="11.25" customHeight="1">
      <c r="A40" s="183" t="s">
        <v>429</v>
      </c>
      <c r="B40" s="711"/>
      <c r="C40" s="711"/>
      <c r="D40" s="180"/>
      <c r="E40" s="180"/>
      <c r="F40" s="711"/>
      <c r="G40" s="711"/>
      <c r="H40" s="711"/>
      <c r="I40" s="711"/>
      <c r="M40" s="440">
        <v>2039</v>
      </c>
      <c r="N40" s="443"/>
      <c r="O40" s="459">
        <v>16062964.619999999</v>
      </c>
      <c r="P40" s="444">
        <v>21708905.920000002</v>
      </c>
      <c r="Q40" s="741">
        <v>-5645941.2999999998</v>
      </c>
      <c r="R40" s="742"/>
      <c r="S40" s="444">
        <v>60816905.090000004</v>
      </c>
    </row>
    <row r="41" spans="1:22" s="35" customFormat="1" ht="11.25" customHeight="1">
      <c r="A41" s="179" t="s">
        <v>430</v>
      </c>
      <c r="B41" s="711"/>
      <c r="C41" s="711"/>
      <c r="D41" s="180"/>
      <c r="E41" s="180"/>
      <c r="F41" s="711"/>
      <c r="G41" s="711"/>
      <c r="H41" s="711"/>
      <c r="I41" s="711"/>
      <c r="M41" s="440">
        <v>2040</v>
      </c>
      <c r="N41" s="443"/>
      <c r="O41" s="459">
        <v>16041538.66</v>
      </c>
      <c r="P41" s="444">
        <v>21604389.039999999</v>
      </c>
      <c r="Q41" s="741">
        <v>-5562850.3799999999</v>
      </c>
      <c r="R41" s="742"/>
      <c r="S41" s="444">
        <v>58903069.020000003</v>
      </c>
      <c r="T41" s="34"/>
      <c r="U41" s="34"/>
      <c r="V41" s="34"/>
    </row>
    <row r="42" spans="1:22" s="34" customFormat="1" ht="11.25" customHeight="1">
      <c r="A42" s="179" t="s">
        <v>343</v>
      </c>
      <c r="B42" s="711"/>
      <c r="C42" s="711"/>
      <c r="D42" s="180"/>
      <c r="E42" s="180"/>
      <c r="F42" s="711"/>
      <c r="G42" s="711"/>
      <c r="H42" s="711"/>
      <c r="I42" s="711"/>
      <c r="M42" s="440">
        <v>2041</v>
      </c>
      <c r="N42" s="443"/>
      <c r="O42" s="459">
        <v>16162952.439999999</v>
      </c>
      <c r="P42" s="444">
        <v>22196651.359999999</v>
      </c>
      <c r="Q42" s="741">
        <v>-6033698.9199999999</v>
      </c>
      <c r="R42" s="742"/>
      <c r="S42" s="444">
        <v>56403554.240000002</v>
      </c>
    </row>
    <row r="43" spans="1:22" s="34" customFormat="1" ht="11.25" customHeight="1">
      <c r="A43" s="179" t="s">
        <v>354</v>
      </c>
      <c r="B43" s="711"/>
      <c r="C43" s="711"/>
      <c r="D43" s="180"/>
      <c r="E43" s="180"/>
      <c r="F43" s="711"/>
      <c r="G43" s="711"/>
      <c r="H43" s="711"/>
      <c r="I43" s="711"/>
      <c r="M43" s="440">
        <v>2042</v>
      </c>
      <c r="N43" s="443"/>
      <c r="O43" s="459">
        <v>16205804.359999999</v>
      </c>
      <c r="P43" s="444">
        <v>22405685.120000001</v>
      </c>
      <c r="Q43" s="741">
        <v>-6199880.7599999998</v>
      </c>
      <c r="R43" s="742"/>
      <c r="S43" s="444">
        <v>53587886.729999997</v>
      </c>
    </row>
    <row r="44" spans="1:22" s="34" customFormat="1" ht="11.25" customHeight="1">
      <c r="A44" s="184" t="s">
        <v>431</v>
      </c>
      <c r="B44" s="731">
        <f>B11+B40</f>
        <v>19517050.689999998</v>
      </c>
      <c r="C44" s="732"/>
      <c r="D44" s="417"/>
      <c r="E44" s="418"/>
      <c r="F44" s="712">
        <f>F11+F40</f>
        <v>20251135.5</v>
      </c>
      <c r="G44" s="713"/>
      <c r="H44" s="712">
        <f>H11+H40</f>
        <v>11853593.369999999</v>
      </c>
      <c r="I44" s="713"/>
      <c r="M44" s="440">
        <v>2043</v>
      </c>
      <c r="N44" s="443"/>
      <c r="O44" s="459">
        <v>16227230.32</v>
      </c>
      <c r="P44" s="444">
        <v>22510202</v>
      </c>
      <c r="Q44" s="741">
        <v>-6282971.6799999997</v>
      </c>
      <c r="R44" s="742"/>
      <c r="S44" s="444">
        <v>50520188.25</v>
      </c>
    </row>
    <row r="45" spans="1:22" s="34" customFormat="1" ht="11.25" customHeight="1">
      <c r="A45" s="135"/>
      <c r="B45" s="185"/>
      <c r="C45" s="185"/>
      <c r="D45" s="185"/>
      <c r="E45" s="185"/>
      <c r="F45" s="186"/>
      <c r="G45" s="135"/>
      <c r="H45" s="135"/>
      <c r="I45" s="135"/>
      <c r="M45" s="440">
        <v>2044</v>
      </c>
      <c r="N45" s="443"/>
      <c r="O45" s="459">
        <v>16320076.140000001</v>
      </c>
      <c r="P45" s="444">
        <v>22963108.48</v>
      </c>
      <c r="Q45" s="741">
        <v>-6643032.3399999999</v>
      </c>
      <c r="R45" s="742"/>
      <c r="S45" s="444">
        <v>46908367.210000001</v>
      </c>
    </row>
    <row r="46" spans="1:22" s="34" customFormat="1" ht="11.25" customHeight="1">
      <c r="A46" s="187" t="s">
        <v>432</v>
      </c>
      <c r="B46" s="684">
        <f>B10</f>
        <v>2017</v>
      </c>
      <c r="C46" s="688"/>
      <c r="D46" s="688"/>
      <c r="E46" s="685"/>
      <c r="F46" s="684">
        <f>F10</f>
        <v>2016</v>
      </c>
      <c r="G46" s="685"/>
      <c r="H46" s="684">
        <f>H10</f>
        <v>2015</v>
      </c>
      <c r="I46" s="685"/>
      <c r="M46" s="440">
        <v>2045</v>
      </c>
      <c r="N46" s="443"/>
      <c r="O46" s="459">
        <v>16284366.210000001</v>
      </c>
      <c r="P46" s="444">
        <v>22788913.68</v>
      </c>
      <c r="Q46" s="741">
        <v>-6504547.4699999997</v>
      </c>
      <c r="R46" s="742"/>
      <c r="S46" s="444">
        <v>43218321.770000003</v>
      </c>
    </row>
    <row r="47" spans="1:22" s="34" customFormat="1" ht="11.25" customHeight="1">
      <c r="A47" s="188" t="s">
        <v>433</v>
      </c>
      <c r="B47" s="703"/>
      <c r="C47" s="703"/>
      <c r="D47" s="189"/>
      <c r="E47" s="190"/>
      <c r="F47" s="703"/>
      <c r="G47" s="703"/>
      <c r="H47" s="706"/>
      <c r="I47" s="707"/>
      <c r="M47" s="440">
        <v>2046</v>
      </c>
      <c r="N47" s="443"/>
      <c r="O47" s="459">
        <v>16291508.199999999</v>
      </c>
      <c r="P47" s="444">
        <v>22823752.640000001</v>
      </c>
      <c r="Q47" s="741">
        <v>-6532244.4400000004</v>
      </c>
      <c r="R47" s="742"/>
      <c r="S47" s="444">
        <v>39279176.630000003</v>
      </c>
    </row>
    <row r="48" spans="1:22" s="34" customFormat="1" ht="11.25" customHeight="1">
      <c r="A48" s="191" t="s">
        <v>434</v>
      </c>
      <c r="B48" s="703"/>
      <c r="C48" s="703"/>
      <c r="D48" s="192"/>
      <c r="E48" s="193"/>
      <c r="F48" s="703"/>
      <c r="G48" s="703"/>
      <c r="H48" s="706"/>
      <c r="I48" s="707"/>
      <c r="M48" s="440">
        <v>2047</v>
      </c>
      <c r="N48" s="443"/>
      <c r="O48" s="459">
        <v>16298650.18</v>
      </c>
      <c r="P48" s="444">
        <v>22858591.600000001</v>
      </c>
      <c r="Q48" s="741">
        <v>-6559941.4199999999</v>
      </c>
      <c r="R48" s="742"/>
      <c r="S48" s="444">
        <v>35075985.810000002</v>
      </c>
    </row>
    <row r="49" spans="1:22" s="34" customFormat="1" ht="11.25" customHeight="1">
      <c r="A49" s="191" t="s">
        <v>435</v>
      </c>
      <c r="B49" s="703"/>
      <c r="C49" s="703"/>
      <c r="D49" s="192"/>
      <c r="E49" s="193"/>
      <c r="F49" s="703"/>
      <c r="G49" s="703"/>
      <c r="H49" s="706"/>
      <c r="I49" s="707"/>
      <c r="M49" s="440">
        <v>2048</v>
      </c>
      <c r="N49" s="443"/>
      <c r="O49" s="459">
        <v>16255798.26</v>
      </c>
      <c r="P49" s="441">
        <v>22649557.84</v>
      </c>
      <c r="Q49" s="741">
        <v>-6393759.5800000001</v>
      </c>
      <c r="R49" s="742"/>
      <c r="S49" s="444">
        <v>30786785.390000001</v>
      </c>
    </row>
    <row r="50" spans="1:22" s="34" customFormat="1" ht="11.25" customHeight="1">
      <c r="A50" s="194" t="s">
        <v>436</v>
      </c>
      <c r="B50" s="703">
        <f>B51+B61</f>
        <v>8152954.1400000006</v>
      </c>
      <c r="C50" s="703"/>
      <c r="D50" s="192"/>
      <c r="E50" s="193"/>
      <c r="F50" s="703">
        <f>F51+F61</f>
        <v>6794424.1500000004</v>
      </c>
      <c r="G50" s="703"/>
      <c r="H50" s="703">
        <f>H51+H61</f>
        <v>5470504.79</v>
      </c>
      <c r="I50" s="703"/>
      <c r="M50" s="440">
        <v>2049</v>
      </c>
      <c r="N50" s="443"/>
      <c r="O50" s="459">
        <v>16155810.449999999</v>
      </c>
      <c r="P50" s="444">
        <v>22161812.399999999</v>
      </c>
      <c r="Q50" s="741">
        <v>-6006001.9500000002</v>
      </c>
      <c r="R50" s="742"/>
      <c r="S50" s="444">
        <v>26627990.559999999</v>
      </c>
      <c r="T50" s="35"/>
      <c r="U50" s="35"/>
      <c r="V50" s="35"/>
    </row>
    <row r="51" spans="1:22" s="35" customFormat="1" ht="11.25" customHeight="1">
      <c r="A51" s="179" t="s">
        <v>437</v>
      </c>
      <c r="B51" s="703">
        <f>B52+B53+B54</f>
        <v>7999356.2400000002</v>
      </c>
      <c r="C51" s="703"/>
      <c r="D51" s="192"/>
      <c r="E51" s="193"/>
      <c r="F51" s="703">
        <f>F52+F53+F54</f>
        <v>6602364.7000000002</v>
      </c>
      <c r="G51" s="703"/>
      <c r="H51" s="703">
        <f>H52+H53+H54</f>
        <v>5296843.16</v>
      </c>
      <c r="I51" s="703"/>
      <c r="M51" s="440">
        <v>2050</v>
      </c>
      <c r="N51" s="443"/>
      <c r="O51" s="459">
        <v>16048680.65</v>
      </c>
      <c r="P51" s="444">
        <v>21639228</v>
      </c>
      <c r="Q51" s="741">
        <v>-5590547.3499999996</v>
      </c>
      <c r="R51" s="742"/>
      <c r="S51" s="444">
        <v>22635122.640000001</v>
      </c>
      <c r="T51" s="34"/>
      <c r="U51" s="34"/>
      <c r="V51" s="34"/>
    </row>
    <row r="52" spans="1:22" s="34" customFormat="1" ht="11.25" customHeight="1">
      <c r="A52" s="195" t="s">
        <v>438</v>
      </c>
      <c r="B52" s="703">
        <v>6253108.2999999998</v>
      </c>
      <c r="C52" s="703"/>
      <c r="D52" s="192"/>
      <c r="E52" s="193"/>
      <c r="F52" s="703">
        <v>5104658.66</v>
      </c>
      <c r="G52" s="703"/>
      <c r="H52" s="701">
        <v>3917678.66</v>
      </c>
      <c r="I52" s="702"/>
      <c r="M52" s="440">
        <v>2051</v>
      </c>
      <c r="N52" s="443"/>
      <c r="O52" s="459">
        <v>15891556.939999999</v>
      </c>
      <c r="P52" s="444">
        <v>20872770.879999999</v>
      </c>
      <c r="Q52" s="741">
        <v>-4981213.9400000004</v>
      </c>
      <c r="R52" s="742"/>
      <c r="S52" s="444">
        <v>19012016.050000001</v>
      </c>
    </row>
    <row r="53" spans="1:22" s="34" customFormat="1" ht="11.25" customHeight="1">
      <c r="A53" s="195" t="s">
        <v>439</v>
      </c>
      <c r="B53" s="703">
        <v>800183.11</v>
      </c>
      <c r="C53" s="703"/>
      <c r="D53" s="192"/>
      <c r="E53" s="193"/>
      <c r="F53" s="703">
        <v>1497706.04</v>
      </c>
      <c r="G53" s="703"/>
      <c r="H53" s="701">
        <v>1379164.5</v>
      </c>
      <c r="I53" s="702"/>
      <c r="M53" s="440">
        <v>2052</v>
      </c>
      <c r="N53" s="443"/>
      <c r="O53" s="459">
        <v>15670155.35</v>
      </c>
      <c r="P53" s="444">
        <v>19792763.120000001</v>
      </c>
      <c r="Q53" s="741">
        <v>-4122607.77</v>
      </c>
      <c r="R53" s="742"/>
      <c r="S53" s="444">
        <v>16030129.24</v>
      </c>
    </row>
    <row r="54" spans="1:22" s="34" customFormat="1" ht="11.25" customHeight="1">
      <c r="A54" s="195" t="s">
        <v>440</v>
      </c>
      <c r="B54" s="703">
        <v>946064.83</v>
      </c>
      <c r="C54" s="703"/>
      <c r="D54" s="192"/>
      <c r="E54" s="193"/>
      <c r="F54" s="703">
        <v>0</v>
      </c>
      <c r="G54" s="703"/>
      <c r="H54" s="706"/>
      <c r="I54" s="707"/>
      <c r="M54" s="440">
        <v>2053</v>
      </c>
      <c r="N54" s="443"/>
      <c r="O54" s="459">
        <v>15548741.57</v>
      </c>
      <c r="P54" s="444">
        <v>19200500.800000001</v>
      </c>
      <c r="Q54" s="741">
        <f>O54-P54</f>
        <v>-3651759.2300000004</v>
      </c>
      <c r="R54" s="742"/>
      <c r="S54" s="444">
        <v>13340177.77</v>
      </c>
    </row>
    <row r="55" spans="1:22" s="34" customFormat="1" ht="11.25" customHeight="1">
      <c r="A55" s="179" t="s">
        <v>441</v>
      </c>
      <c r="B55" s="703"/>
      <c r="C55" s="703"/>
      <c r="D55" s="192"/>
      <c r="E55" s="193"/>
      <c r="F55" s="703"/>
      <c r="G55" s="703"/>
      <c r="H55" s="706"/>
      <c r="I55" s="707"/>
      <c r="M55" s="440">
        <v>2054</v>
      </c>
      <c r="N55" s="443"/>
      <c r="O55" s="459">
        <v>14427327.789999999</v>
      </c>
      <c r="P55" s="444">
        <v>18608238.48</v>
      </c>
      <c r="Q55" s="741">
        <v>-3180910.69</v>
      </c>
      <c r="R55" s="742"/>
      <c r="S55" s="444">
        <v>10959677.75</v>
      </c>
    </row>
    <row r="56" spans="1:22" s="34" customFormat="1" ht="11.25" customHeight="1">
      <c r="A56" s="195" t="s">
        <v>442</v>
      </c>
      <c r="B56" s="703"/>
      <c r="C56" s="703"/>
      <c r="D56" s="192"/>
      <c r="E56" s="193"/>
      <c r="F56" s="703"/>
      <c r="G56" s="703"/>
      <c r="H56" s="706"/>
      <c r="I56" s="707"/>
      <c r="M56" s="440">
        <v>2055</v>
      </c>
      <c r="N56" s="443"/>
      <c r="O56" s="459">
        <v>15348765.939999999</v>
      </c>
      <c r="P56" s="444">
        <v>18225009.920000002</v>
      </c>
      <c r="Q56" s="741">
        <f t="shared" ref="Q56:Q72" si="0">O56-P56</f>
        <v>-2876243.9800000023</v>
      </c>
      <c r="R56" s="742"/>
      <c r="S56" s="444">
        <v>8741014.4299999997</v>
      </c>
    </row>
    <row r="57" spans="1:22" s="34" customFormat="1" ht="11.25" customHeight="1">
      <c r="A57" s="195" t="s">
        <v>439</v>
      </c>
      <c r="B57" s="703"/>
      <c r="C57" s="703"/>
      <c r="D57" s="192"/>
      <c r="E57" s="193"/>
      <c r="F57" s="703"/>
      <c r="G57" s="703"/>
      <c r="H57" s="706"/>
      <c r="I57" s="707"/>
      <c r="M57" s="440">
        <v>2056</v>
      </c>
      <c r="N57" s="443"/>
      <c r="O57" s="459">
        <v>15341623.949999999</v>
      </c>
      <c r="P57" s="444">
        <v>18190170.960000001</v>
      </c>
      <c r="Q57" s="741">
        <f t="shared" si="0"/>
        <v>-2848547.0100000016</v>
      </c>
      <c r="R57" s="742"/>
      <c r="S57" s="444">
        <v>6416928.29</v>
      </c>
    </row>
    <row r="58" spans="1:22" s="34" customFormat="1" ht="11.25" customHeight="1">
      <c r="A58" s="195" t="s">
        <v>440</v>
      </c>
      <c r="B58" s="703"/>
      <c r="C58" s="703"/>
      <c r="D58" s="192"/>
      <c r="E58" s="193"/>
      <c r="F58" s="703"/>
      <c r="G58" s="703"/>
      <c r="H58" s="706"/>
      <c r="I58" s="707"/>
      <c r="M58" s="440">
        <v>2057</v>
      </c>
      <c r="N58" s="443"/>
      <c r="O58" s="459">
        <v>15370191.9</v>
      </c>
      <c r="P58" s="444">
        <v>18329526.800000001</v>
      </c>
      <c r="Q58" s="741">
        <f t="shared" si="0"/>
        <v>-2959334.9000000004</v>
      </c>
      <c r="R58" s="742"/>
      <c r="S58" s="444">
        <v>3842609.09</v>
      </c>
    </row>
    <row r="59" spans="1:22" s="34" customFormat="1" ht="11.25" customHeight="1">
      <c r="A59" s="191" t="s">
        <v>443</v>
      </c>
      <c r="B59" s="703"/>
      <c r="C59" s="703"/>
      <c r="D59" s="192"/>
      <c r="E59" s="193"/>
      <c r="F59" s="703"/>
      <c r="G59" s="703"/>
      <c r="H59" s="706"/>
      <c r="I59" s="707"/>
      <c r="M59" s="440">
        <v>2058</v>
      </c>
      <c r="N59" s="443"/>
      <c r="O59" s="459">
        <v>15548741.57</v>
      </c>
      <c r="P59" s="444">
        <v>19200500.800000001</v>
      </c>
      <c r="Q59" s="741">
        <f t="shared" si="0"/>
        <v>-3651759.2300000004</v>
      </c>
      <c r="R59" s="742"/>
      <c r="S59" s="444">
        <v>421406.41</v>
      </c>
    </row>
    <row r="60" spans="1:22" s="34" customFormat="1" ht="11.25" customHeight="1">
      <c r="A60" s="195" t="s">
        <v>444</v>
      </c>
      <c r="B60" s="703"/>
      <c r="C60" s="703"/>
      <c r="D60" s="192"/>
      <c r="E60" s="193"/>
      <c r="F60" s="703"/>
      <c r="G60" s="703"/>
      <c r="H60" s="706"/>
      <c r="I60" s="707"/>
      <c r="M60" s="440">
        <v>2059</v>
      </c>
      <c r="N60" s="443"/>
      <c r="O60" s="459">
        <v>15477321.699999999</v>
      </c>
      <c r="P60" s="444">
        <v>18058528.93</v>
      </c>
      <c r="Q60" s="741">
        <f t="shared" si="0"/>
        <v>-2581207.2300000004</v>
      </c>
      <c r="R60" s="742"/>
      <c r="S60" s="444">
        <v>-2134516.44</v>
      </c>
    </row>
    <row r="61" spans="1:22" s="34" customFormat="1" ht="11.25" customHeight="1">
      <c r="A61" s="195" t="s">
        <v>445</v>
      </c>
      <c r="B61" s="703">
        <v>153597.9</v>
      </c>
      <c r="C61" s="703"/>
      <c r="D61" s="196"/>
      <c r="E61" s="197"/>
      <c r="F61" s="703">
        <v>192059.45</v>
      </c>
      <c r="G61" s="703"/>
      <c r="H61" s="701">
        <v>173661.63</v>
      </c>
      <c r="I61" s="702"/>
      <c r="M61" s="440">
        <v>2060</v>
      </c>
      <c r="N61" s="443"/>
      <c r="O61" s="459">
        <v>15498747.66</v>
      </c>
      <c r="P61" s="444">
        <v>18163045.809999999</v>
      </c>
      <c r="Q61" s="741">
        <f t="shared" si="0"/>
        <v>-2664298.1499999985</v>
      </c>
      <c r="R61" s="742"/>
      <c r="S61" s="444">
        <v>-4798814.59</v>
      </c>
    </row>
    <row r="62" spans="1:22" s="34" customFormat="1" ht="11.25" customHeight="1">
      <c r="A62" s="198" t="s">
        <v>446</v>
      </c>
      <c r="B62" s="706">
        <f>B47+B50</f>
        <v>8152954.1400000006</v>
      </c>
      <c r="C62" s="730"/>
      <c r="D62" s="730"/>
      <c r="E62" s="707"/>
      <c r="F62" s="733">
        <f>F47+F50</f>
        <v>6794424.1500000004</v>
      </c>
      <c r="G62" s="734"/>
      <c r="H62" s="704">
        <f>H47+H50</f>
        <v>5470504.79</v>
      </c>
      <c r="I62" s="705"/>
      <c r="M62" s="440">
        <v>2061</v>
      </c>
      <c r="N62" s="443"/>
      <c r="O62" s="459">
        <v>15377333.890000001</v>
      </c>
      <c r="P62" s="444">
        <v>17570783.489999998</v>
      </c>
      <c r="Q62" s="741">
        <f t="shared" si="0"/>
        <v>-2193449.5999999978</v>
      </c>
      <c r="R62" s="742"/>
      <c r="S62" s="444">
        <v>6992264.1900000004</v>
      </c>
    </row>
    <row r="63" spans="1:22" s="34" customFormat="1" ht="11.25" customHeight="1">
      <c r="A63" s="199"/>
      <c r="B63" s="200"/>
      <c r="C63" s="200"/>
      <c r="D63" s="201"/>
      <c r="E63" s="201"/>
      <c r="F63" s="201"/>
      <c r="G63" s="202"/>
      <c r="H63" s="202"/>
      <c r="I63" s="202"/>
      <c r="M63" s="440">
        <v>2062</v>
      </c>
      <c r="N63" s="443"/>
      <c r="O63" s="459">
        <v>13962980.619999999</v>
      </c>
      <c r="P63" s="444">
        <v>10671499.279999999</v>
      </c>
      <c r="Q63" s="741">
        <f t="shared" si="0"/>
        <v>3291481.34</v>
      </c>
      <c r="R63" s="742"/>
      <c r="S63" s="444">
        <v>3700782.84</v>
      </c>
    </row>
    <row r="64" spans="1:22" s="34" customFormat="1" ht="11.25" customHeight="1">
      <c r="A64" s="203" t="s">
        <v>177</v>
      </c>
      <c r="B64" s="708">
        <f>B44-B62</f>
        <v>11364096.549999997</v>
      </c>
      <c r="C64" s="709"/>
      <c r="D64" s="709"/>
      <c r="E64" s="710"/>
      <c r="F64" s="679">
        <f>F44-F62</f>
        <v>13456711.35</v>
      </c>
      <c r="G64" s="594"/>
      <c r="H64" s="679">
        <f>H44-H62</f>
        <v>6383088.5799999991</v>
      </c>
      <c r="I64" s="594"/>
      <c r="M64" s="440">
        <v>2063</v>
      </c>
      <c r="N64" s="443"/>
      <c r="O64" s="459">
        <v>13941554.66</v>
      </c>
      <c r="P64" s="444">
        <v>10566982.4</v>
      </c>
      <c r="Q64" s="741">
        <f t="shared" si="0"/>
        <v>3374572.26</v>
      </c>
      <c r="R64" s="742"/>
      <c r="S64" s="444">
        <v>326210.58</v>
      </c>
    </row>
    <row r="65" spans="1:19" s="34" customFormat="1" ht="11.25" customHeight="1">
      <c r="A65" s="204"/>
      <c r="B65" s="205"/>
      <c r="C65" s="205"/>
      <c r="D65" s="205"/>
      <c r="E65" s="205"/>
      <c r="F65" s="206"/>
      <c r="G65" s="206"/>
      <c r="H65" s="206"/>
      <c r="I65" s="206"/>
      <c r="M65" s="440">
        <v>2064</v>
      </c>
      <c r="N65" s="443"/>
      <c r="O65" s="459">
        <v>13848708.84</v>
      </c>
      <c r="P65" s="444">
        <v>10114075.92</v>
      </c>
      <c r="Q65" s="741">
        <f t="shared" si="0"/>
        <v>3734632.92</v>
      </c>
      <c r="R65" s="742"/>
      <c r="S65" s="444">
        <v>3408422.33</v>
      </c>
    </row>
    <row r="66" spans="1:19" s="34" customFormat="1" ht="11.25" customHeight="1">
      <c r="A66" s="207" t="s">
        <v>447</v>
      </c>
      <c r="B66" s="684"/>
      <c r="C66" s="688"/>
      <c r="D66" s="688"/>
      <c r="E66" s="685"/>
      <c r="F66" s="684"/>
      <c r="G66" s="685"/>
      <c r="H66" s="684"/>
      <c r="I66" s="688"/>
      <c r="M66" s="440">
        <v>2065</v>
      </c>
      <c r="N66" s="443"/>
      <c r="O66" s="459">
        <v>13884418.77</v>
      </c>
      <c r="P66" s="444">
        <v>10288270.720000001</v>
      </c>
      <c r="Q66" s="741">
        <f t="shared" si="0"/>
        <v>3596148.0499999989</v>
      </c>
      <c r="R66" s="742"/>
      <c r="S66" s="444">
        <v>7209075.7199999997</v>
      </c>
    </row>
    <row r="67" spans="1:19" s="34" customFormat="1" ht="11.25" customHeight="1">
      <c r="A67" s="208" t="s">
        <v>448</v>
      </c>
      <c r="B67" s="699"/>
      <c r="C67" s="700"/>
      <c r="D67" s="700"/>
      <c r="E67" s="700"/>
      <c r="F67" s="700"/>
      <c r="G67" s="700"/>
      <c r="H67" s="700"/>
      <c r="I67" s="700"/>
      <c r="M67" s="440">
        <v>2066</v>
      </c>
      <c r="N67" s="443"/>
      <c r="O67" s="459">
        <v>13877276.779999999</v>
      </c>
      <c r="P67" s="444">
        <v>10253431.76</v>
      </c>
      <c r="Q67" s="741">
        <f t="shared" si="0"/>
        <v>3623845.0199999996</v>
      </c>
      <c r="R67" s="742"/>
      <c r="S67" s="444">
        <v>11265465.289999999</v>
      </c>
    </row>
    <row r="68" spans="1:19" s="34" customFormat="1" ht="11.25" customHeight="1">
      <c r="A68" s="204"/>
      <c r="B68" s="205"/>
      <c r="C68" s="205"/>
      <c r="D68" s="206"/>
      <c r="E68" s="206"/>
      <c r="F68" s="209"/>
      <c r="G68" s="209"/>
      <c r="H68" s="209"/>
      <c r="I68" s="209"/>
      <c r="M68" s="440">
        <v>2067</v>
      </c>
      <c r="N68" s="443"/>
      <c r="O68" s="459">
        <v>13870134.800000001</v>
      </c>
      <c r="P68" s="444">
        <v>10218592.800000001</v>
      </c>
      <c r="Q68" s="741">
        <f t="shared" si="0"/>
        <v>3651542</v>
      </c>
      <c r="R68" s="742"/>
      <c r="S68" s="444">
        <v>15592935.199999999</v>
      </c>
    </row>
    <row r="69" spans="1:19" s="34" customFormat="1" ht="11.25" customHeight="1">
      <c r="A69" s="207" t="s">
        <v>178</v>
      </c>
      <c r="B69" s="694">
        <f>B46</f>
        <v>2017</v>
      </c>
      <c r="C69" s="696"/>
      <c r="D69" s="696"/>
      <c r="E69" s="695"/>
      <c r="F69" s="694">
        <f>F46</f>
        <v>2016</v>
      </c>
      <c r="G69" s="695"/>
      <c r="H69" s="694">
        <f>H46</f>
        <v>2015</v>
      </c>
      <c r="I69" s="696"/>
      <c r="M69" s="440">
        <v>2068</v>
      </c>
      <c r="N69" s="443"/>
      <c r="O69" s="459">
        <v>13912986.720000001</v>
      </c>
      <c r="P69" s="444">
        <v>10427626.560000001</v>
      </c>
      <c r="Q69" s="741">
        <f t="shared" si="0"/>
        <v>3485360.16</v>
      </c>
      <c r="R69" s="742"/>
      <c r="S69" s="444">
        <v>20013871.469999999</v>
      </c>
    </row>
    <row r="70" spans="1:19" s="34" customFormat="1" ht="11.25" customHeight="1">
      <c r="A70" s="208" t="s">
        <v>448</v>
      </c>
      <c r="B70" s="697"/>
      <c r="C70" s="698"/>
      <c r="D70" s="210"/>
      <c r="E70" s="210"/>
      <c r="F70" s="697"/>
      <c r="G70" s="698"/>
      <c r="H70" s="697"/>
      <c r="I70" s="698"/>
      <c r="M70" s="440">
        <v>2069</v>
      </c>
      <c r="N70" s="443"/>
      <c r="O70" s="459">
        <v>14012974.529999999</v>
      </c>
      <c r="P70" s="444">
        <v>10915372</v>
      </c>
      <c r="Q70" s="741">
        <f t="shared" si="0"/>
        <v>3097602.5299999993</v>
      </c>
      <c r="R70" s="742"/>
      <c r="S70" s="444">
        <v>24312306.289999999</v>
      </c>
    </row>
    <row r="71" spans="1:19" s="34" customFormat="1" ht="11.25" customHeight="1">
      <c r="A71" s="202"/>
      <c r="B71" s="211"/>
      <c r="C71" s="212"/>
      <c r="D71" s="212"/>
      <c r="E71" s="212"/>
      <c r="F71" s="212"/>
      <c r="G71" s="135"/>
      <c r="H71" s="135"/>
      <c r="I71" s="135"/>
      <c r="M71" s="440">
        <v>2070</v>
      </c>
      <c r="N71" s="443"/>
      <c r="O71" s="459">
        <v>14120104.33</v>
      </c>
      <c r="P71" s="444">
        <v>11437956.4</v>
      </c>
      <c r="Q71" s="741">
        <f t="shared" si="0"/>
        <v>2682147.9299999997</v>
      </c>
      <c r="R71" s="742"/>
      <c r="S71" s="444">
        <v>28453192.600000001</v>
      </c>
    </row>
    <row r="72" spans="1:19" s="34" customFormat="1" ht="11.25" customHeight="1">
      <c r="A72" s="207" t="s">
        <v>449</v>
      </c>
      <c r="B72" s="680">
        <f>B69</f>
        <v>2017</v>
      </c>
      <c r="C72" s="693"/>
      <c r="D72" s="693"/>
      <c r="E72" s="681"/>
      <c r="F72" s="680">
        <f>F69</f>
        <v>2016</v>
      </c>
      <c r="G72" s="681"/>
      <c r="H72" s="680">
        <f>H69</f>
        <v>2015</v>
      </c>
      <c r="I72" s="693"/>
      <c r="M72" s="440">
        <v>2071</v>
      </c>
      <c r="N72" s="443"/>
      <c r="O72" s="459">
        <v>14277228.039999999</v>
      </c>
      <c r="P72" s="444">
        <v>12204413.52</v>
      </c>
      <c r="Q72" s="741">
        <f t="shared" si="0"/>
        <v>2072814.5199999996</v>
      </c>
      <c r="R72" s="742"/>
      <c r="S72" s="444">
        <v>32233198.68</v>
      </c>
    </row>
    <row r="73" spans="1:19" s="34" customFormat="1" ht="11.25" customHeight="1">
      <c r="A73" s="213" t="s">
        <v>450</v>
      </c>
      <c r="B73" s="692"/>
      <c r="C73" s="692"/>
      <c r="D73" s="214"/>
      <c r="E73" s="202"/>
      <c r="F73" s="692"/>
      <c r="G73" s="692"/>
      <c r="H73" s="692"/>
      <c r="I73" s="692"/>
      <c r="M73" s="440">
        <v>2072</v>
      </c>
      <c r="N73" s="443"/>
      <c r="O73" s="459">
        <v>14498629.630000001</v>
      </c>
      <c r="P73" s="444">
        <v>13284421.279999999</v>
      </c>
      <c r="Q73" s="741">
        <f t="shared" ref="Q73:Q92" si="1">O73-P73</f>
        <v>1214208.3500000015</v>
      </c>
      <c r="R73" s="742"/>
      <c r="S73" s="444">
        <v>35381398.960000001</v>
      </c>
    </row>
    <row r="74" spans="1:19" s="34" customFormat="1" ht="11.25" customHeight="1">
      <c r="A74" s="215" t="s">
        <v>451</v>
      </c>
      <c r="B74" s="692"/>
      <c r="C74" s="692"/>
      <c r="D74" s="214"/>
      <c r="E74" s="202"/>
      <c r="F74" s="692"/>
      <c r="G74" s="692"/>
      <c r="H74" s="692"/>
      <c r="I74" s="692"/>
      <c r="M74" s="440">
        <v>2073</v>
      </c>
      <c r="N74" s="443"/>
      <c r="O74" s="459">
        <v>14620043.41</v>
      </c>
      <c r="P74" s="444">
        <v>13876683.6</v>
      </c>
      <c r="Q74" s="741">
        <f t="shared" si="1"/>
        <v>743359.81000000052</v>
      </c>
      <c r="R74" s="742"/>
      <c r="S74" s="444">
        <v>38247642.710000001</v>
      </c>
    </row>
    <row r="75" spans="1:19" s="34" customFormat="1" ht="11.25" customHeight="1">
      <c r="A75" s="202" t="s">
        <v>452</v>
      </c>
      <c r="B75" s="692"/>
      <c r="C75" s="692"/>
      <c r="D75" s="214"/>
      <c r="E75" s="202"/>
      <c r="F75" s="690">
        <v>1502457.98</v>
      </c>
      <c r="G75" s="691"/>
      <c r="H75" s="689">
        <v>597495.14</v>
      </c>
      <c r="I75" s="689"/>
      <c r="M75" s="440">
        <v>2074</v>
      </c>
      <c r="N75" s="443"/>
      <c r="O75" s="459">
        <v>14741457.189999999</v>
      </c>
      <c r="P75" s="444">
        <v>14468945.92</v>
      </c>
      <c r="Q75" s="741">
        <f t="shared" si="1"/>
        <v>272511.26999999955</v>
      </c>
      <c r="R75" s="742"/>
      <c r="S75" s="444">
        <v>40815012.530000001</v>
      </c>
    </row>
    <row r="76" spans="1:19" s="34" customFormat="1" ht="11.25" customHeight="1">
      <c r="A76" s="216" t="s">
        <v>453</v>
      </c>
      <c r="B76" s="692"/>
      <c r="C76" s="692"/>
      <c r="D76" s="217"/>
      <c r="E76" s="218"/>
      <c r="F76" s="692"/>
      <c r="G76" s="692"/>
      <c r="H76" s="692"/>
      <c r="I76" s="692"/>
      <c r="M76" s="440">
        <v>2075</v>
      </c>
      <c r="N76" s="443"/>
      <c r="O76" s="459">
        <v>14820019.039999999</v>
      </c>
      <c r="P76" s="444">
        <v>14852174.48</v>
      </c>
      <c r="Q76" s="741">
        <f t="shared" si="1"/>
        <v>-32155.440000001341</v>
      </c>
      <c r="R76" s="742"/>
      <c r="S76" s="444">
        <v>43231757.840000004</v>
      </c>
    </row>
    <row r="77" spans="1:19" s="34" customFormat="1" ht="11.25" customHeight="1">
      <c r="A77" s="219"/>
      <c r="B77" s="219"/>
      <c r="C77" s="219"/>
      <c r="D77" s="219"/>
      <c r="E77" s="219"/>
      <c r="F77" s="219"/>
      <c r="G77" s="202"/>
      <c r="H77" s="135"/>
      <c r="I77" s="135"/>
      <c r="M77" s="440">
        <v>2076</v>
      </c>
      <c r="N77" s="443"/>
      <c r="O77" s="459">
        <v>14898580.890000001</v>
      </c>
      <c r="P77" s="444">
        <v>15235403.039999999</v>
      </c>
      <c r="Q77" s="741">
        <f t="shared" si="1"/>
        <v>-336822.14999999851</v>
      </c>
      <c r="R77" s="742"/>
      <c r="S77" s="444">
        <v>45488841.170000002</v>
      </c>
    </row>
    <row r="78" spans="1:19" s="34" customFormat="1" ht="11.25" customHeight="1">
      <c r="A78" s="220" t="s">
        <v>179</v>
      </c>
      <c r="B78" s="684">
        <f>B72</f>
        <v>2017</v>
      </c>
      <c r="C78" s="688"/>
      <c r="D78" s="688"/>
      <c r="E78" s="685"/>
      <c r="F78" s="684">
        <f>F72</f>
        <v>2016</v>
      </c>
      <c r="G78" s="685"/>
      <c r="H78" s="684">
        <f>H72</f>
        <v>2015</v>
      </c>
      <c r="I78" s="685"/>
      <c r="M78" s="440">
        <v>2077</v>
      </c>
      <c r="N78" s="445"/>
      <c r="O78" s="459">
        <v>15055704.6</v>
      </c>
      <c r="P78" s="444">
        <v>16001860.16</v>
      </c>
      <c r="Q78" s="741">
        <f t="shared" si="1"/>
        <v>-946155.56000000052</v>
      </c>
      <c r="R78" s="742"/>
      <c r="S78" s="444">
        <v>47272016.090000004</v>
      </c>
    </row>
    <row r="79" spans="1:19" s="34" customFormat="1" ht="11.25" customHeight="1">
      <c r="A79" s="221" t="s">
        <v>454</v>
      </c>
      <c r="B79" s="692"/>
      <c r="C79" s="692"/>
      <c r="D79" s="221"/>
      <c r="E79" s="221"/>
      <c r="F79" s="692"/>
      <c r="G79" s="692"/>
      <c r="H79" s="692"/>
      <c r="I79" s="692"/>
      <c r="M79" s="440">
        <v>2078</v>
      </c>
      <c r="N79" s="443"/>
      <c r="O79" s="458">
        <v>14877154.93</v>
      </c>
      <c r="P79" s="441">
        <v>15130886.16</v>
      </c>
      <c r="Q79" s="741">
        <f t="shared" si="1"/>
        <v>-253731.23000000045</v>
      </c>
      <c r="R79" s="742"/>
      <c r="S79" s="441">
        <v>49854605.82</v>
      </c>
    </row>
    <row r="80" spans="1:19" s="34" customFormat="1" ht="11.25" customHeight="1">
      <c r="A80" s="222" t="s">
        <v>455</v>
      </c>
      <c r="B80" s="718">
        <v>106679172.16</v>
      </c>
      <c r="C80" s="718"/>
      <c r="D80" s="241"/>
      <c r="E80" s="241"/>
      <c r="F80" s="718">
        <v>92723778.359999999</v>
      </c>
      <c r="G80" s="718"/>
      <c r="H80" s="718">
        <v>76770177.989999995</v>
      </c>
      <c r="I80" s="718"/>
      <c r="M80" s="448">
        <v>2079</v>
      </c>
      <c r="N80" s="445"/>
      <c r="O80" s="458">
        <v>14948574.800000001</v>
      </c>
      <c r="P80" s="441">
        <v>15479275.76</v>
      </c>
      <c r="Q80" s="741">
        <f t="shared" si="1"/>
        <v>-530700.95999999903</v>
      </c>
      <c r="R80" s="742"/>
      <c r="S80" s="442">
        <v>52315181.219999999</v>
      </c>
    </row>
    <row r="81" spans="1:22" s="34" customFormat="1" ht="11.25" customHeight="1">
      <c r="A81" s="223" t="s">
        <v>456</v>
      </c>
      <c r="B81" s="692"/>
      <c r="C81" s="692"/>
      <c r="D81" s="224"/>
      <c r="E81" s="224"/>
      <c r="F81" s="692"/>
      <c r="G81" s="692"/>
      <c r="H81" s="692"/>
      <c r="I81" s="692"/>
      <c r="M81" s="448">
        <v>2080</v>
      </c>
      <c r="N81" s="445"/>
      <c r="O81" s="458">
        <v>14962858.779999999</v>
      </c>
      <c r="P81" s="446">
        <v>15548953.68</v>
      </c>
      <c r="Q81" s="741">
        <f t="shared" si="1"/>
        <v>-586094.90000000037</v>
      </c>
      <c r="R81" s="742"/>
      <c r="S81" s="442">
        <v>54867997.189999998</v>
      </c>
    </row>
    <row r="82" spans="1:22" s="34" customFormat="1" ht="11.25" customHeight="1" thickBot="1">
      <c r="A82" s="225"/>
      <c r="B82" s="226"/>
      <c r="C82" s="226"/>
      <c r="D82" s="176"/>
      <c r="E82" s="176"/>
      <c r="F82" s="176"/>
      <c r="G82" s="202"/>
      <c r="H82" s="202"/>
      <c r="I82" s="202"/>
      <c r="M82" s="448">
        <v>2081</v>
      </c>
      <c r="N82" s="445"/>
      <c r="O82" s="458">
        <v>14977142.75</v>
      </c>
      <c r="P82" s="441">
        <v>15618631.6</v>
      </c>
      <c r="Q82" s="741">
        <f t="shared" si="1"/>
        <v>-641488.84999999963</v>
      </c>
      <c r="R82" s="742"/>
      <c r="S82" s="442">
        <v>57518588.170000002</v>
      </c>
    </row>
    <row r="83" spans="1:22" s="34" customFormat="1" ht="11.25" customHeight="1">
      <c r="A83" s="716" t="s">
        <v>457</v>
      </c>
      <c r="B83" s="717"/>
      <c r="C83" s="717"/>
      <c r="D83" s="717"/>
      <c r="E83" s="717"/>
      <c r="F83" s="717"/>
      <c r="G83" s="717"/>
      <c r="H83" s="717"/>
      <c r="I83" s="717"/>
      <c r="M83" s="448">
        <v>2082</v>
      </c>
      <c r="N83" s="445"/>
      <c r="O83" s="458">
        <v>15019994.67</v>
      </c>
      <c r="P83" s="441">
        <v>15827665.359999999</v>
      </c>
      <c r="Q83" s="741">
        <f t="shared" si="1"/>
        <v>-807670.68999999948</v>
      </c>
      <c r="R83" s="742"/>
      <c r="S83" s="442">
        <v>60162032.770000003</v>
      </c>
    </row>
    <row r="84" spans="1:22" s="34" customFormat="1" ht="11.25" customHeight="1">
      <c r="A84" s="227" t="s">
        <v>414</v>
      </c>
      <c r="B84" s="680">
        <f>B78</f>
        <v>2017</v>
      </c>
      <c r="C84" s="693"/>
      <c r="D84" s="693"/>
      <c r="E84" s="681"/>
      <c r="F84" s="684">
        <f>F78</f>
        <v>2016</v>
      </c>
      <c r="G84" s="685"/>
      <c r="H84" s="684">
        <f>H78</f>
        <v>2015</v>
      </c>
      <c r="I84" s="688"/>
      <c r="M84" s="448">
        <v>2083</v>
      </c>
      <c r="N84" s="445"/>
      <c r="O84" s="458">
        <v>15041420.630000001</v>
      </c>
      <c r="P84" s="441">
        <v>15932182.24</v>
      </c>
      <c r="Q84" s="741">
        <f t="shared" si="1"/>
        <v>-890761.6099999994</v>
      </c>
      <c r="R84" s="742"/>
      <c r="S84" s="442">
        <v>62880993.119999997</v>
      </c>
    </row>
    <row r="85" spans="1:22" s="34" customFormat="1" ht="11.25" customHeight="1">
      <c r="A85" s="176" t="s">
        <v>458</v>
      </c>
      <c r="B85" s="686">
        <v>11087842.25</v>
      </c>
      <c r="C85" s="687"/>
      <c r="D85" s="239"/>
      <c r="E85" s="240"/>
      <c r="F85" s="686">
        <v>7976531.4699999997</v>
      </c>
      <c r="G85" s="687"/>
      <c r="H85" s="686">
        <f>H95</f>
        <v>4586654.1500000004</v>
      </c>
      <c r="I85" s="687"/>
      <c r="M85" s="448">
        <v>2084</v>
      </c>
      <c r="N85" s="445"/>
      <c r="O85" s="458">
        <v>15134266.460000001</v>
      </c>
      <c r="P85" s="441">
        <v>16385088.720000001</v>
      </c>
      <c r="Q85" s="741">
        <f t="shared" si="1"/>
        <v>-1250822.2599999998</v>
      </c>
      <c r="R85" s="742"/>
      <c r="S85" s="442">
        <v>65403030.450000003</v>
      </c>
    </row>
    <row r="86" spans="1:22" s="34" customFormat="1" ht="11.25" customHeight="1">
      <c r="A86" s="179" t="s">
        <v>459</v>
      </c>
      <c r="B86" s="686"/>
      <c r="C86" s="687"/>
      <c r="D86" s="241"/>
      <c r="E86" s="242"/>
      <c r="F86" s="686"/>
      <c r="G86" s="687"/>
      <c r="H86" s="686"/>
      <c r="I86" s="687"/>
      <c r="M86" s="448">
        <v>2085</v>
      </c>
      <c r="N86" s="445"/>
      <c r="O86" s="458">
        <v>15098556.529999999</v>
      </c>
      <c r="P86" s="441">
        <v>16210893.92</v>
      </c>
      <c r="Q86" s="741">
        <f t="shared" si="1"/>
        <v>-1112337.3900000006</v>
      </c>
      <c r="R86" s="742"/>
      <c r="S86" s="442">
        <v>68214874.879999995</v>
      </c>
    </row>
    <row r="87" spans="1:22" s="34" customFormat="1" ht="11.25" customHeight="1">
      <c r="A87" s="181" t="s">
        <v>417</v>
      </c>
      <c r="B87" s="686"/>
      <c r="C87" s="687"/>
      <c r="D87" s="241"/>
      <c r="E87" s="242"/>
      <c r="F87" s="686"/>
      <c r="G87" s="687"/>
      <c r="H87" s="686"/>
      <c r="I87" s="687"/>
      <c r="M87" s="448">
        <v>2086</v>
      </c>
      <c r="N87" s="445"/>
      <c r="O87" s="458">
        <v>15105698.51</v>
      </c>
      <c r="P87" s="441">
        <v>16245732.880000001</v>
      </c>
      <c r="Q87" s="741">
        <f t="shared" si="1"/>
        <v>-1140034.370000001</v>
      </c>
      <c r="R87" s="742"/>
      <c r="S87" s="442">
        <v>71167733.010000005</v>
      </c>
    </row>
    <row r="88" spans="1:22" s="34" customFormat="1" ht="11.25" customHeight="1">
      <c r="A88" s="182" t="s">
        <v>418</v>
      </c>
      <c r="B88" s="686"/>
      <c r="C88" s="687"/>
      <c r="D88" s="241"/>
      <c r="E88" s="242"/>
      <c r="F88" s="686"/>
      <c r="G88" s="687"/>
      <c r="H88" s="686"/>
      <c r="I88" s="687"/>
      <c r="M88" s="448">
        <v>2087</v>
      </c>
      <c r="N88" s="445"/>
      <c r="O88" s="458">
        <v>15112840.5</v>
      </c>
      <c r="P88" s="441">
        <v>16280571.84</v>
      </c>
      <c r="Q88" s="741">
        <f t="shared" si="1"/>
        <v>-1167731.3399999999</v>
      </c>
      <c r="R88" s="742"/>
      <c r="S88" s="442">
        <v>74270065.650000006</v>
      </c>
    </row>
    <row r="89" spans="1:22" s="34" customFormat="1" ht="11.25" customHeight="1">
      <c r="A89" s="182" t="s">
        <v>419</v>
      </c>
      <c r="B89" s="686"/>
      <c r="C89" s="687"/>
      <c r="D89" s="241"/>
      <c r="E89" s="242"/>
      <c r="F89" s="686"/>
      <c r="G89" s="687"/>
      <c r="H89" s="686"/>
      <c r="I89" s="687"/>
      <c r="M89" s="448">
        <v>2088</v>
      </c>
      <c r="N89" s="445"/>
      <c r="O89" s="458">
        <v>15069988.58</v>
      </c>
      <c r="P89" s="441">
        <v>16071538.08</v>
      </c>
      <c r="Q89" s="741">
        <f t="shared" si="1"/>
        <v>-1001549.5</v>
      </c>
      <c r="R89" s="742"/>
      <c r="S89" s="442">
        <v>77724720.090000004</v>
      </c>
    </row>
    <row r="90" spans="1:22" s="34" customFormat="1" ht="11.25" customHeight="1">
      <c r="A90" s="182" t="s">
        <v>420</v>
      </c>
      <c r="B90" s="686"/>
      <c r="C90" s="687"/>
      <c r="D90" s="241"/>
      <c r="E90" s="242"/>
      <c r="F90" s="686"/>
      <c r="G90" s="687"/>
      <c r="H90" s="686"/>
      <c r="I90" s="687"/>
      <c r="M90" s="448">
        <v>2089</v>
      </c>
      <c r="N90" s="445"/>
      <c r="O90" s="458">
        <v>14970000.76</v>
      </c>
      <c r="P90" s="441">
        <v>15583792.640000001</v>
      </c>
      <c r="Q90" s="741">
        <f t="shared" si="1"/>
        <v>-613791.88000000082</v>
      </c>
      <c r="R90" s="742"/>
      <c r="S90" s="442">
        <v>81774411.409999996</v>
      </c>
    </row>
    <row r="91" spans="1:22" s="34" customFormat="1" ht="11.25" customHeight="1">
      <c r="A91" s="181" t="s">
        <v>421</v>
      </c>
      <c r="B91" s="686"/>
      <c r="C91" s="687"/>
      <c r="D91" s="241"/>
      <c r="E91" s="242"/>
      <c r="F91" s="686"/>
      <c r="G91" s="687"/>
      <c r="H91" s="686"/>
      <c r="I91" s="687"/>
      <c r="M91" s="448">
        <v>2090</v>
      </c>
      <c r="N91" s="445"/>
      <c r="O91" s="458">
        <v>14862870.960000001</v>
      </c>
      <c r="P91" s="441">
        <v>15061208.24</v>
      </c>
      <c r="Q91" s="741">
        <f t="shared" si="1"/>
        <v>-198337.27999999933</v>
      </c>
      <c r="R91" s="742"/>
      <c r="S91" s="442">
        <v>86482538.819999993</v>
      </c>
    </row>
    <row r="92" spans="1:22" s="34" customFormat="1" ht="11.25" customHeight="1">
      <c r="A92" s="182" t="s">
        <v>418</v>
      </c>
      <c r="B92" s="686"/>
      <c r="C92" s="687"/>
      <c r="D92" s="241"/>
      <c r="E92" s="242"/>
      <c r="F92" s="686"/>
      <c r="G92" s="687"/>
      <c r="H92" s="686"/>
      <c r="I92" s="687"/>
      <c r="M92" s="440">
        <v>2091</v>
      </c>
      <c r="N92" s="449"/>
      <c r="O92" s="458">
        <v>14705747.25</v>
      </c>
      <c r="P92" s="441">
        <v>14294751.119999999</v>
      </c>
      <c r="Q92" s="741">
        <f t="shared" si="1"/>
        <v>410996.13000000082</v>
      </c>
      <c r="R92" s="742"/>
      <c r="S92" s="442">
        <v>92082487.280000001</v>
      </c>
    </row>
    <row r="93" spans="1:22" s="34" customFormat="1" ht="11.25" customHeight="1">
      <c r="A93" s="182" t="s">
        <v>419</v>
      </c>
      <c r="B93" s="686"/>
      <c r="C93" s="687"/>
      <c r="D93" s="241"/>
      <c r="E93" s="242"/>
      <c r="F93" s="686"/>
      <c r="G93" s="687"/>
      <c r="H93" s="686"/>
      <c r="I93" s="687"/>
      <c r="M93" s="740" t="s">
        <v>796</v>
      </c>
      <c r="N93" s="740"/>
      <c r="O93" s="740"/>
      <c r="P93" s="740"/>
      <c r="Q93" s="740"/>
      <c r="R93" s="740"/>
      <c r="S93" s="740"/>
      <c r="T93" s="740"/>
      <c r="U93" s="740"/>
      <c r="V93" s="740"/>
    </row>
    <row r="94" spans="1:22" s="34" customFormat="1" ht="11.25" customHeight="1">
      <c r="A94" s="182" t="s">
        <v>420</v>
      </c>
      <c r="B94" s="686"/>
      <c r="C94" s="687"/>
      <c r="D94" s="241"/>
      <c r="E94" s="242"/>
      <c r="F94" s="686"/>
      <c r="G94" s="687"/>
      <c r="H94" s="686"/>
      <c r="I94" s="687"/>
      <c r="M94" s="447" t="s">
        <v>791</v>
      </c>
      <c r="N94" s="447"/>
      <c r="O94" s="447"/>
      <c r="P94" s="447"/>
      <c r="Q94" s="447"/>
      <c r="R94" s="447"/>
    </row>
    <row r="95" spans="1:22" s="34" customFormat="1" ht="11.25" customHeight="1">
      <c r="A95" s="179" t="s">
        <v>460</v>
      </c>
      <c r="B95" s="686"/>
      <c r="C95" s="687"/>
      <c r="D95" s="241"/>
      <c r="E95" s="242"/>
      <c r="F95" s="686">
        <v>4871717.74</v>
      </c>
      <c r="G95" s="687"/>
      <c r="H95" s="686">
        <f>H97+H104+H112</f>
        <v>4586654.1500000004</v>
      </c>
      <c r="I95" s="687"/>
    </row>
    <row r="96" spans="1:22" s="34" customFormat="1" ht="11.25" customHeight="1">
      <c r="A96" s="181" t="s">
        <v>417</v>
      </c>
      <c r="B96" s="686"/>
      <c r="C96" s="687"/>
      <c r="D96" s="241"/>
      <c r="E96" s="242"/>
      <c r="F96" s="686"/>
      <c r="G96" s="687"/>
      <c r="H96" s="686"/>
      <c r="I96" s="687"/>
    </row>
    <row r="97" spans="1:9" s="34" customFormat="1" ht="11.25" customHeight="1">
      <c r="A97" s="182" t="s">
        <v>418</v>
      </c>
      <c r="B97" s="686"/>
      <c r="C97" s="687"/>
      <c r="D97" s="241"/>
      <c r="E97" s="242"/>
      <c r="F97" s="686">
        <v>4871717.74</v>
      </c>
      <c r="G97" s="687"/>
      <c r="H97" s="686">
        <v>2975987.1</v>
      </c>
      <c r="I97" s="687"/>
    </row>
    <row r="98" spans="1:9" s="34" customFormat="1" ht="11.25" customHeight="1">
      <c r="A98" s="182" t="s">
        <v>419</v>
      </c>
      <c r="B98" s="686"/>
      <c r="C98" s="687"/>
      <c r="D98" s="241"/>
      <c r="E98" s="242"/>
      <c r="F98" s="686"/>
      <c r="G98" s="687"/>
      <c r="H98" s="686"/>
      <c r="I98" s="687"/>
    </row>
    <row r="99" spans="1:9" s="34" customFormat="1" ht="11.25" customHeight="1">
      <c r="A99" s="182" t="s">
        <v>420</v>
      </c>
      <c r="B99" s="686"/>
      <c r="C99" s="687"/>
      <c r="D99" s="241"/>
      <c r="E99" s="242"/>
      <c r="F99" s="686"/>
      <c r="G99" s="687"/>
      <c r="H99" s="686"/>
      <c r="I99" s="687"/>
    </row>
    <row r="100" spans="1:9" s="34" customFormat="1" ht="11.25" customHeight="1">
      <c r="A100" s="181" t="s">
        <v>421</v>
      </c>
      <c r="B100" s="686"/>
      <c r="C100" s="687"/>
      <c r="D100" s="241"/>
      <c r="E100" s="242"/>
      <c r="F100" s="686"/>
      <c r="G100" s="687"/>
      <c r="H100" s="686"/>
      <c r="I100" s="687"/>
    </row>
    <row r="101" spans="1:9" s="34" customFormat="1" ht="11.25" customHeight="1">
      <c r="A101" s="182" t="s">
        <v>418</v>
      </c>
      <c r="B101" s="686"/>
      <c r="C101" s="687"/>
      <c r="D101" s="241"/>
      <c r="E101" s="242"/>
      <c r="F101" s="686"/>
      <c r="G101" s="687"/>
      <c r="H101" s="686"/>
      <c r="I101" s="687"/>
    </row>
    <row r="102" spans="1:9" s="34" customFormat="1" ht="11.25" customHeight="1">
      <c r="A102" s="182" t="s">
        <v>419</v>
      </c>
      <c r="B102" s="686"/>
      <c r="C102" s="687"/>
      <c r="D102" s="241"/>
      <c r="E102" s="242"/>
      <c r="F102" s="686"/>
      <c r="G102" s="687"/>
      <c r="H102" s="686"/>
      <c r="I102" s="687"/>
    </row>
    <row r="103" spans="1:9" s="34" customFormat="1" ht="11.25" customHeight="1">
      <c r="A103" s="182" t="s">
        <v>420</v>
      </c>
      <c r="B103" s="686"/>
      <c r="C103" s="687"/>
      <c r="D103" s="241"/>
      <c r="E103" s="242"/>
      <c r="F103" s="686"/>
      <c r="G103" s="687"/>
      <c r="H103" s="686"/>
      <c r="I103" s="687"/>
    </row>
    <row r="104" spans="1:9" s="34" customFormat="1" ht="11.25" customHeight="1">
      <c r="A104" s="181" t="s">
        <v>634</v>
      </c>
      <c r="B104" s="686">
        <v>1212834.56</v>
      </c>
      <c r="C104" s="687"/>
      <c r="D104" s="241"/>
      <c r="E104" s="242"/>
      <c r="F104" s="686">
        <f>F95-F112</f>
        <v>1766904.0100000002</v>
      </c>
      <c r="G104" s="687"/>
      <c r="H104" s="686">
        <v>1013171.91</v>
      </c>
      <c r="I104" s="687"/>
    </row>
    <row r="105" spans="1:9" s="34" customFormat="1" ht="11.25" customHeight="1">
      <c r="A105" s="179" t="s">
        <v>239</v>
      </c>
      <c r="B105" s="686"/>
      <c r="C105" s="687"/>
      <c r="D105" s="241"/>
      <c r="E105" s="242"/>
      <c r="F105" s="686"/>
      <c r="G105" s="687"/>
      <c r="H105" s="686"/>
      <c r="I105" s="687"/>
    </row>
    <row r="106" spans="1:9" s="34" customFormat="1" ht="11.25" customHeight="1">
      <c r="A106" s="181" t="s">
        <v>424</v>
      </c>
      <c r="B106" s="686"/>
      <c r="C106" s="687"/>
      <c r="D106" s="241"/>
      <c r="E106" s="242"/>
      <c r="F106" s="686"/>
      <c r="G106" s="687"/>
      <c r="H106" s="686"/>
      <c r="I106" s="687"/>
    </row>
    <row r="107" spans="1:9" s="34" customFormat="1" ht="11.25" customHeight="1">
      <c r="A107" s="181" t="s">
        <v>425</v>
      </c>
      <c r="B107" s="686"/>
      <c r="C107" s="687"/>
      <c r="D107" s="241"/>
      <c r="E107" s="242"/>
      <c r="F107" s="686"/>
      <c r="G107" s="687"/>
      <c r="H107" s="686"/>
      <c r="I107" s="687"/>
    </row>
    <row r="108" spans="1:9" s="34" customFormat="1" ht="11.25" customHeight="1">
      <c r="A108" s="181" t="s">
        <v>426</v>
      </c>
      <c r="B108" s="686"/>
      <c r="C108" s="687"/>
      <c r="D108" s="241"/>
      <c r="E108" s="242"/>
      <c r="F108" s="686"/>
      <c r="G108" s="687"/>
      <c r="H108" s="686"/>
      <c r="I108" s="687"/>
    </row>
    <row r="109" spans="1:9" s="34" customFormat="1" ht="11.25" customHeight="1">
      <c r="A109" s="179" t="s">
        <v>262</v>
      </c>
      <c r="B109" s="686"/>
      <c r="C109" s="687"/>
      <c r="D109" s="241"/>
      <c r="E109" s="242"/>
      <c r="F109" s="686"/>
      <c r="G109" s="687"/>
      <c r="H109" s="686"/>
      <c r="I109" s="687"/>
    </row>
    <row r="110" spans="1:9" s="34" customFormat="1" ht="11.25" customHeight="1">
      <c r="A110" s="179" t="s">
        <v>318</v>
      </c>
      <c r="B110" s="686"/>
      <c r="C110" s="687"/>
      <c r="D110" s="241"/>
      <c r="E110" s="242"/>
      <c r="F110" s="686"/>
      <c r="G110" s="687"/>
      <c r="H110" s="686"/>
      <c r="I110" s="687"/>
    </row>
    <row r="111" spans="1:9" s="34" customFormat="1" ht="11.25" customHeight="1">
      <c r="A111" s="181" t="s">
        <v>428</v>
      </c>
      <c r="B111" s="686"/>
      <c r="C111" s="687"/>
      <c r="D111" s="241"/>
      <c r="E111" s="242"/>
      <c r="F111" s="686"/>
      <c r="G111" s="687"/>
      <c r="H111" s="686"/>
      <c r="I111" s="687"/>
    </row>
    <row r="112" spans="1:9" s="34" customFormat="1" ht="11.25" customHeight="1">
      <c r="A112" s="181" t="s">
        <v>324</v>
      </c>
      <c r="B112" s="686"/>
      <c r="C112" s="687"/>
      <c r="D112" s="241"/>
      <c r="E112" s="242"/>
      <c r="F112" s="686">
        <v>3104813.73</v>
      </c>
      <c r="G112" s="687"/>
      <c r="H112" s="686">
        <v>597495.14</v>
      </c>
      <c r="I112" s="687"/>
    </row>
    <row r="113" spans="1:9" s="34" customFormat="1" ht="11.25" customHeight="1">
      <c r="A113" s="183" t="s">
        <v>461</v>
      </c>
      <c r="B113" s="686"/>
      <c r="C113" s="687"/>
      <c r="D113" s="241"/>
      <c r="E113" s="242"/>
      <c r="F113" s="686"/>
      <c r="G113" s="687"/>
      <c r="H113" s="686"/>
      <c r="I113" s="687"/>
    </row>
    <row r="114" spans="1:9" s="34" customFormat="1" ht="11.25" customHeight="1">
      <c r="A114" s="179" t="s">
        <v>430</v>
      </c>
      <c r="B114" s="686"/>
      <c r="C114" s="687"/>
      <c r="D114" s="241"/>
      <c r="E114" s="242"/>
      <c r="F114" s="686"/>
      <c r="G114" s="687"/>
      <c r="H114" s="686"/>
      <c r="I114" s="687"/>
    </row>
    <row r="115" spans="1:9" s="34" customFormat="1" ht="11.25" customHeight="1">
      <c r="A115" s="179" t="s">
        <v>343</v>
      </c>
      <c r="B115" s="686"/>
      <c r="C115" s="687"/>
      <c r="D115" s="241"/>
      <c r="E115" s="242"/>
      <c r="F115" s="686"/>
      <c r="G115" s="687"/>
      <c r="H115" s="686"/>
      <c r="I115" s="687"/>
    </row>
    <row r="116" spans="1:9" s="34" customFormat="1" ht="11.25" customHeight="1">
      <c r="A116" s="179" t="s">
        <v>354</v>
      </c>
      <c r="B116" s="686"/>
      <c r="C116" s="687"/>
      <c r="D116" s="241"/>
      <c r="E116" s="242"/>
      <c r="F116" s="686"/>
      <c r="G116" s="687"/>
      <c r="H116" s="686"/>
      <c r="I116" s="687"/>
    </row>
    <row r="117" spans="1:9" s="34" customFormat="1" ht="11.25" customHeight="1">
      <c r="A117" s="228" t="s">
        <v>462</v>
      </c>
      <c r="B117" s="706">
        <f>B85+B113</f>
        <v>11087842.25</v>
      </c>
      <c r="C117" s="730"/>
      <c r="D117" s="243"/>
      <c r="E117" s="244"/>
      <c r="F117" s="733">
        <f>F85+F113</f>
        <v>7976531.4699999997</v>
      </c>
      <c r="G117" s="734"/>
      <c r="H117" s="733">
        <f>H85+H113</f>
        <v>4586654.1500000004</v>
      </c>
      <c r="I117" s="734"/>
    </row>
    <row r="118" spans="1:9" s="34" customFormat="1" ht="11.25" customHeight="1">
      <c r="A118" s="135"/>
      <c r="B118" s="185"/>
      <c r="C118" s="185"/>
      <c r="D118" s="185"/>
      <c r="E118" s="185"/>
      <c r="F118" s="186"/>
      <c r="G118" s="135"/>
      <c r="H118" s="135"/>
      <c r="I118" s="135"/>
    </row>
    <row r="119" spans="1:9" s="34" customFormat="1" ht="11.25" customHeight="1">
      <c r="A119" s="187" t="s">
        <v>432</v>
      </c>
      <c r="B119" s="684">
        <f>B84</f>
        <v>2017</v>
      </c>
      <c r="C119" s="688"/>
      <c r="D119" s="688"/>
      <c r="E119" s="229"/>
      <c r="F119" s="684">
        <f>F84</f>
        <v>2016</v>
      </c>
      <c r="G119" s="685"/>
      <c r="H119" s="684">
        <f>H84</f>
        <v>2015</v>
      </c>
      <c r="I119" s="685"/>
    </row>
    <row r="120" spans="1:9" s="34" customFormat="1" ht="11.25" customHeight="1">
      <c r="A120" s="188" t="s">
        <v>463</v>
      </c>
      <c r="B120" s="677"/>
      <c r="C120" s="678"/>
      <c r="D120" s="230"/>
      <c r="E120" s="230"/>
      <c r="F120" s="677"/>
      <c r="G120" s="678"/>
      <c r="H120" s="677"/>
      <c r="I120" s="678"/>
    </row>
    <row r="121" spans="1:9" s="34" customFormat="1" ht="11.25" customHeight="1">
      <c r="A121" s="191" t="s">
        <v>434</v>
      </c>
      <c r="B121" s="677"/>
      <c r="C121" s="678"/>
      <c r="D121" s="230"/>
      <c r="E121" s="230"/>
      <c r="F121" s="677"/>
      <c r="G121" s="678"/>
      <c r="H121" s="677"/>
      <c r="I121" s="678"/>
    </row>
    <row r="122" spans="1:9" s="34" customFormat="1" ht="11.25" customHeight="1">
      <c r="A122" s="191" t="s">
        <v>435</v>
      </c>
      <c r="B122" s="677"/>
      <c r="C122" s="678"/>
      <c r="D122" s="230"/>
      <c r="E122" s="230"/>
      <c r="F122" s="677"/>
      <c r="G122" s="678"/>
      <c r="H122" s="677"/>
      <c r="I122" s="678"/>
    </row>
    <row r="123" spans="1:9" s="34" customFormat="1" ht="11.25" customHeight="1">
      <c r="A123" s="194" t="s">
        <v>464</v>
      </c>
      <c r="B123" s="677"/>
      <c r="C123" s="678"/>
      <c r="D123" s="230"/>
      <c r="E123" s="230"/>
      <c r="F123" s="677"/>
      <c r="G123" s="678"/>
      <c r="H123" s="677"/>
      <c r="I123" s="678"/>
    </row>
    <row r="124" spans="1:9" s="34" customFormat="1" ht="11.25" customHeight="1">
      <c r="A124" s="179" t="s">
        <v>437</v>
      </c>
      <c r="B124" s="677"/>
      <c r="C124" s="678"/>
      <c r="D124" s="230"/>
      <c r="E124" s="230"/>
      <c r="F124" s="677"/>
      <c r="G124" s="678"/>
      <c r="H124" s="677"/>
      <c r="I124" s="678"/>
    </row>
    <row r="125" spans="1:9" s="34" customFormat="1" ht="11.25" customHeight="1">
      <c r="A125" s="195" t="s">
        <v>465</v>
      </c>
      <c r="B125" s="677"/>
      <c r="C125" s="678"/>
      <c r="D125" s="230"/>
      <c r="E125" s="230"/>
      <c r="F125" s="677"/>
      <c r="G125" s="678"/>
      <c r="H125" s="677"/>
      <c r="I125" s="678"/>
    </row>
    <row r="126" spans="1:9" s="34" customFormat="1" ht="11.25" customHeight="1">
      <c r="A126" s="195" t="s">
        <v>439</v>
      </c>
      <c r="B126" s="677"/>
      <c r="C126" s="678"/>
      <c r="D126" s="230"/>
      <c r="E126" s="230"/>
      <c r="F126" s="677"/>
      <c r="G126" s="678"/>
      <c r="H126" s="677"/>
      <c r="I126" s="678"/>
    </row>
    <row r="127" spans="1:9" s="34" customFormat="1" ht="11.25" customHeight="1">
      <c r="A127" s="195" t="s">
        <v>440</v>
      </c>
      <c r="B127" s="677"/>
      <c r="C127" s="678"/>
      <c r="D127" s="230"/>
      <c r="E127" s="230"/>
      <c r="F127" s="677"/>
      <c r="G127" s="678"/>
      <c r="H127" s="677"/>
      <c r="I127" s="678"/>
    </row>
    <row r="128" spans="1:9" s="34" customFormat="1" ht="11.25" customHeight="1">
      <c r="A128" s="179" t="s">
        <v>441</v>
      </c>
      <c r="B128" s="677"/>
      <c r="C128" s="678"/>
      <c r="D128" s="230"/>
      <c r="E128" s="230"/>
      <c r="F128" s="677"/>
      <c r="G128" s="678"/>
      <c r="H128" s="677"/>
      <c r="I128" s="678"/>
    </row>
    <row r="129" spans="1:9" s="34" customFormat="1" ht="11.25" customHeight="1">
      <c r="A129" s="195" t="s">
        <v>442</v>
      </c>
      <c r="B129" s="677"/>
      <c r="C129" s="678"/>
      <c r="D129" s="230"/>
      <c r="E129" s="230"/>
      <c r="F129" s="677"/>
      <c r="G129" s="678"/>
      <c r="H129" s="677"/>
      <c r="I129" s="678"/>
    </row>
    <row r="130" spans="1:9" s="34" customFormat="1" ht="11.25" customHeight="1">
      <c r="A130" s="195" t="s">
        <v>439</v>
      </c>
      <c r="B130" s="677"/>
      <c r="C130" s="678"/>
      <c r="D130" s="230"/>
      <c r="E130" s="230"/>
      <c r="F130" s="677"/>
      <c r="G130" s="678"/>
      <c r="H130" s="677"/>
      <c r="I130" s="678"/>
    </row>
    <row r="131" spans="1:9" s="34" customFormat="1" ht="11.25" customHeight="1">
      <c r="A131" s="195" t="s">
        <v>440</v>
      </c>
      <c r="B131" s="677"/>
      <c r="C131" s="678"/>
      <c r="D131" s="230"/>
      <c r="E131" s="230"/>
      <c r="F131" s="677"/>
      <c r="G131" s="678"/>
      <c r="H131" s="677"/>
      <c r="I131" s="678"/>
    </row>
    <row r="132" spans="1:9" s="34" customFormat="1" ht="11.25" customHeight="1">
      <c r="A132" s="191" t="s">
        <v>443</v>
      </c>
      <c r="B132" s="677"/>
      <c r="C132" s="678"/>
      <c r="D132" s="230"/>
      <c r="E132" s="230"/>
      <c r="F132" s="677"/>
      <c r="G132" s="678"/>
      <c r="H132" s="677"/>
      <c r="I132" s="678"/>
    </row>
    <row r="133" spans="1:9" s="34" customFormat="1" ht="11.25" customHeight="1">
      <c r="A133" s="195" t="s">
        <v>444</v>
      </c>
      <c r="B133" s="677"/>
      <c r="C133" s="678"/>
      <c r="D133" s="230"/>
      <c r="E133" s="230"/>
      <c r="F133" s="677"/>
      <c r="G133" s="678"/>
      <c r="H133" s="677"/>
      <c r="I133" s="678"/>
    </row>
    <row r="134" spans="1:9" s="34" customFormat="1" ht="11.25" customHeight="1">
      <c r="A134" s="195" t="s">
        <v>445</v>
      </c>
      <c r="B134" s="677"/>
      <c r="C134" s="678"/>
      <c r="D134" s="230"/>
      <c r="E134" s="230"/>
      <c r="F134" s="677"/>
      <c r="G134" s="678"/>
      <c r="H134" s="677"/>
      <c r="I134" s="678"/>
    </row>
    <row r="135" spans="1:9" s="34" customFormat="1" ht="11.25" customHeight="1">
      <c r="A135" s="198" t="s">
        <v>466</v>
      </c>
      <c r="B135" s="722"/>
      <c r="C135" s="723"/>
      <c r="D135" s="723"/>
      <c r="E135" s="724"/>
      <c r="F135" s="608"/>
      <c r="G135" s="610"/>
      <c r="H135" s="725"/>
      <c r="I135" s="726"/>
    </row>
    <row r="136" spans="1:9" s="34" customFormat="1" ht="11.25" customHeight="1">
      <c r="A136" s="199"/>
      <c r="B136" s="200"/>
      <c r="C136" s="200"/>
      <c r="D136" s="201"/>
      <c r="E136" s="201"/>
      <c r="F136" s="201"/>
      <c r="G136" s="202"/>
      <c r="H136" s="202"/>
      <c r="I136" s="202"/>
    </row>
    <row r="137" spans="1:9" s="34" customFormat="1" ht="11.25" customHeight="1">
      <c r="A137" s="203" t="s">
        <v>467</v>
      </c>
      <c r="B137" s="727">
        <f>B117-B135</f>
        <v>11087842.25</v>
      </c>
      <c r="C137" s="728"/>
      <c r="D137" s="728"/>
      <c r="E137" s="729"/>
      <c r="F137" s="679">
        <f>F117-F135</f>
        <v>7976531.4699999997</v>
      </c>
      <c r="G137" s="594"/>
      <c r="H137" s="679">
        <v>4586654.1500000004</v>
      </c>
      <c r="I137" s="594"/>
    </row>
    <row r="138" spans="1:9" s="34" customFormat="1" ht="11.25" customHeight="1">
      <c r="A138" s="202"/>
      <c r="B138" s="211"/>
      <c r="C138" s="212"/>
      <c r="D138" s="212"/>
      <c r="E138" s="212"/>
      <c r="F138" s="212"/>
      <c r="G138" s="135"/>
      <c r="H138" s="135"/>
      <c r="I138" s="135"/>
    </row>
    <row r="139" spans="1:9" s="34" customFormat="1" ht="11.25" customHeight="1">
      <c r="A139" s="207" t="s">
        <v>468</v>
      </c>
      <c r="B139" s="680">
        <f>B119</f>
        <v>2017</v>
      </c>
      <c r="C139" s="693"/>
      <c r="D139" s="693"/>
      <c r="E139" s="681"/>
      <c r="F139" s="680">
        <f>F119</f>
        <v>2016</v>
      </c>
      <c r="G139" s="681"/>
      <c r="H139" s="680">
        <f>H119</f>
        <v>2015</v>
      </c>
      <c r="I139" s="681"/>
    </row>
    <row r="140" spans="1:9" s="34" customFormat="1" ht="11.25" customHeight="1">
      <c r="A140" s="213" t="s">
        <v>469</v>
      </c>
      <c r="B140" s="682"/>
      <c r="C140" s="683"/>
      <c r="D140" s="451"/>
      <c r="E140" s="452"/>
      <c r="F140" s="682"/>
      <c r="G140" s="683"/>
      <c r="H140" s="682">
        <v>597495.14</v>
      </c>
      <c r="I140" s="683"/>
    </row>
    <row r="141" spans="1:9" s="34" customFormat="1" ht="11.25" customHeight="1">
      <c r="A141" s="231" t="s">
        <v>470</v>
      </c>
      <c r="B141" s="677"/>
      <c r="C141" s="678"/>
      <c r="D141" s="217"/>
      <c r="E141" s="218"/>
      <c r="F141" s="677"/>
      <c r="G141" s="678"/>
      <c r="H141" s="677"/>
      <c r="I141" s="678"/>
    </row>
    <row r="142" spans="1:9" s="34" customFormat="1" ht="11.25" customHeight="1" thickBot="1">
      <c r="A142" s="232"/>
      <c r="B142" s="233"/>
      <c r="C142" s="233"/>
      <c r="D142" s="234"/>
      <c r="E142" s="235"/>
      <c r="F142" s="234"/>
      <c r="G142" s="235"/>
      <c r="H142" s="234"/>
      <c r="I142" s="235"/>
    </row>
    <row r="143" spans="1:9" ht="11.25" customHeight="1">
      <c r="A143" s="715" t="s">
        <v>792</v>
      </c>
      <c r="B143" s="715"/>
      <c r="C143" s="715"/>
      <c r="D143" s="715"/>
      <c r="E143" s="715"/>
      <c r="F143" s="715"/>
      <c r="G143" s="715"/>
      <c r="H143" s="715"/>
      <c r="I143" s="715"/>
    </row>
    <row r="144" spans="1:9" ht="11.25" customHeight="1">
      <c r="A144" s="135"/>
      <c r="B144" s="135"/>
      <c r="C144" s="135"/>
      <c r="D144" s="135"/>
      <c r="E144" s="135"/>
      <c r="F144" s="135"/>
      <c r="G144" s="135"/>
      <c r="H144" s="238"/>
      <c r="I144" s="238"/>
    </row>
    <row r="145" spans="1:9" ht="11.25" customHeight="1">
      <c r="A145" s="135"/>
      <c r="B145" s="135"/>
      <c r="C145" s="135"/>
      <c r="D145" s="135"/>
      <c r="E145" s="135"/>
      <c r="F145" s="135"/>
      <c r="G145" s="135"/>
      <c r="H145" s="238"/>
      <c r="I145" s="238"/>
    </row>
    <row r="146" spans="1:9" ht="11.25" customHeight="1">
      <c r="A146" s="135"/>
      <c r="B146" s="135"/>
      <c r="C146" s="135"/>
      <c r="D146" s="135"/>
      <c r="E146" s="135"/>
      <c r="F146" s="135"/>
      <c r="G146" s="135"/>
      <c r="H146" s="135"/>
      <c r="I146" s="135"/>
    </row>
    <row r="147" spans="1:9" ht="11.25" customHeight="1">
      <c r="A147" s="135"/>
      <c r="B147" s="135"/>
      <c r="C147" s="135"/>
      <c r="D147" s="135"/>
      <c r="E147" s="135"/>
      <c r="F147" s="135"/>
      <c r="G147" s="135"/>
      <c r="H147" s="135"/>
      <c r="I147" s="135"/>
    </row>
    <row r="148" spans="1:9" ht="11.25" customHeight="1">
      <c r="A148" s="135"/>
      <c r="B148" s="135"/>
      <c r="C148" s="135"/>
      <c r="D148" s="135"/>
      <c r="E148" s="135"/>
      <c r="F148" s="135"/>
      <c r="G148" s="135"/>
      <c r="H148" s="135"/>
      <c r="I148" s="135"/>
    </row>
    <row r="149" spans="1:9" ht="11.25" customHeight="1">
      <c r="A149" s="135"/>
      <c r="B149" s="135"/>
      <c r="C149" s="135"/>
      <c r="D149" s="135"/>
      <c r="E149" s="135"/>
      <c r="F149" s="135"/>
      <c r="G149" s="135"/>
      <c r="H149" s="135"/>
      <c r="I149" s="135"/>
    </row>
    <row r="150" spans="1:9" ht="11.25" customHeight="1">
      <c r="A150" s="135"/>
      <c r="B150" s="135"/>
      <c r="C150" s="135"/>
      <c r="D150" s="135"/>
      <c r="E150" s="135"/>
      <c r="F150" s="135"/>
      <c r="G150" s="135"/>
      <c r="H150" s="135"/>
      <c r="I150" s="135"/>
    </row>
    <row r="151" spans="1:9" ht="11.25" customHeight="1">
      <c r="A151" s="135"/>
      <c r="B151" s="135"/>
      <c r="C151" s="135"/>
      <c r="D151" s="135"/>
      <c r="E151" s="135"/>
      <c r="F151" s="135"/>
      <c r="G151" s="135"/>
      <c r="H151" s="135"/>
      <c r="I151" s="135"/>
    </row>
    <row r="152" spans="1:9" ht="11.25" customHeight="1">
      <c r="A152" s="135"/>
      <c r="B152" s="135"/>
      <c r="C152" s="135"/>
      <c r="D152" s="135"/>
      <c r="E152" s="135"/>
      <c r="F152" s="135"/>
      <c r="G152" s="135"/>
      <c r="H152" s="135"/>
      <c r="I152" s="135"/>
    </row>
    <row r="153" spans="1:9" ht="11.25" customHeight="1">
      <c r="A153" s="135"/>
      <c r="B153" s="135"/>
      <c r="C153" s="135"/>
      <c r="D153" s="135"/>
      <c r="E153" s="135"/>
      <c r="F153" s="135"/>
      <c r="G153" s="135"/>
      <c r="H153" s="135"/>
      <c r="I153" s="135"/>
    </row>
    <row r="154" spans="1:9" ht="11.25" customHeight="1">
      <c r="A154" s="135"/>
      <c r="B154" s="135"/>
      <c r="C154" s="135"/>
      <c r="D154" s="135"/>
      <c r="E154" s="135"/>
      <c r="F154" s="135"/>
      <c r="G154" s="135"/>
      <c r="H154" s="135"/>
      <c r="I154" s="135"/>
    </row>
    <row r="155" spans="1:9" ht="11.25" customHeight="1">
      <c r="A155" s="135"/>
      <c r="B155" s="135"/>
      <c r="C155" s="135"/>
      <c r="D155" s="135"/>
      <c r="E155" s="135"/>
      <c r="F155" s="135"/>
      <c r="G155" s="135"/>
      <c r="H155" s="135"/>
      <c r="I155" s="135"/>
    </row>
    <row r="156" spans="1:9" ht="11.25" customHeight="1">
      <c r="A156" s="135"/>
      <c r="B156" s="135"/>
      <c r="C156" s="135"/>
      <c r="D156" s="135"/>
      <c r="E156" s="135"/>
      <c r="F156" s="135"/>
      <c r="G156" s="135"/>
      <c r="H156" s="135"/>
      <c r="I156" s="135"/>
    </row>
    <row r="157" spans="1:9" ht="11.25" customHeight="1">
      <c r="A157" s="135"/>
      <c r="B157" s="135"/>
      <c r="C157" s="135"/>
      <c r="D157" s="135"/>
      <c r="E157" s="135"/>
      <c r="F157" s="135"/>
      <c r="G157" s="135"/>
      <c r="H157" s="135"/>
      <c r="I157" s="135"/>
    </row>
    <row r="158" spans="1:9" ht="11.25" customHeight="1">
      <c r="A158" s="135"/>
      <c r="B158" s="135"/>
      <c r="C158" s="135"/>
      <c r="D158" s="135"/>
      <c r="E158" s="135"/>
      <c r="F158" s="135"/>
      <c r="G158" s="135"/>
      <c r="H158" s="135"/>
      <c r="I158" s="135"/>
    </row>
    <row r="159" spans="1:9" ht="11.25" customHeight="1">
      <c r="A159" s="135"/>
      <c r="B159" s="135"/>
      <c r="C159" s="135"/>
      <c r="D159" s="135"/>
      <c r="E159" s="135"/>
      <c r="F159" s="135"/>
      <c r="G159" s="135"/>
      <c r="H159" s="135"/>
      <c r="I159" s="135"/>
    </row>
    <row r="160" spans="1:9" ht="11.25" customHeight="1">
      <c r="A160" s="135"/>
      <c r="B160" s="135"/>
      <c r="C160" s="135"/>
      <c r="D160" s="135"/>
      <c r="E160" s="135"/>
      <c r="F160" s="135"/>
      <c r="G160" s="135"/>
      <c r="H160" s="135"/>
      <c r="I160" s="135"/>
    </row>
    <row r="161" spans="1:9" ht="11.25" customHeight="1">
      <c r="A161" s="135"/>
      <c r="B161" s="135"/>
      <c r="C161" s="135"/>
      <c r="D161" s="135"/>
      <c r="E161" s="135"/>
      <c r="F161" s="135"/>
      <c r="G161" s="135"/>
      <c r="H161" s="135"/>
      <c r="I161" s="135"/>
    </row>
    <row r="177" spans="8:9" ht="11.25" customHeight="1">
      <c r="H177" s="88"/>
      <c r="I177" s="88"/>
    </row>
    <row r="178" spans="8:9" ht="11.25" customHeight="1">
      <c r="H178" s="88"/>
      <c r="I178" s="88"/>
    </row>
    <row r="188" spans="8:9" ht="11.25" customHeight="1">
      <c r="H188" s="88"/>
      <c r="I188" s="88"/>
    </row>
  </sheetData>
  <mergeCells count="449">
    <mergeCell ref="Q41:R41"/>
    <mergeCell ref="Q40:R40"/>
    <mergeCell ref="Q39:R39"/>
    <mergeCell ref="F117:G117"/>
    <mergeCell ref="B117:C117"/>
    <mergeCell ref="H117:I117"/>
    <mergeCell ref="Q46:R46"/>
    <mergeCell ref="Q47:R47"/>
    <mergeCell ref="Q45:R45"/>
    <mergeCell ref="Q44:R44"/>
    <mergeCell ref="Q54:R54"/>
    <mergeCell ref="Q43:R43"/>
    <mergeCell ref="Q42:R42"/>
    <mergeCell ref="Q53:R53"/>
    <mergeCell ref="Q52:R52"/>
    <mergeCell ref="Q51:R51"/>
    <mergeCell ref="Q50:R50"/>
    <mergeCell ref="Q48:R48"/>
    <mergeCell ref="Q49:R49"/>
    <mergeCell ref="Q63:R63"/>
    <mergeCell ref="Q62:R62"/>
    <mergeCell ref="Q61:R61"/>
    <mergeCell ref="Q60:R60"/>
    <mergeCell ref="Q59:R59"/>
    <mergeCell ref="Q55:R55"/>
    <mergeCell ref="Q72:R72"/>
    <mergeCell ref="Q71:R71"/>
    <mergeCell ref="Q69:R69"/>
    <mergeCell ref="Q70:R70"/>
    <mergeCell ref="Q68:R68"/>
    <mergeCell ref="Q67:R67"/>
    <mergeCell ref="Q66:R66"/>
    <mergeCell ref="Q65:R65"/>
    <mergeCell ref="Q64:R64"/>
    <mergeCell ref="Q78:R78"/>
    <mergeCell ref="Q77:R77"/>
    <mergeCell ref="Q76:R76"/>
    <mergeCell ref="Q75:R75"/>
    <mergeCell ref="Q74:R74"/>
    <mergeCell ref="Q73:R73"/>
    <mergeCell ref="Q58:R58"/>
    <mergeCell ref="Q57:R57"/>
    <mergeCell ref="Q56:R56"/>
    <mergeCell ref="Q27:R27"/>
    <mergeCell ref="Q28:R28"/>
    <mergeCell ref="Q29:R29"/>
    <mergeCell ref="Q30:R30"/>
    <mergeCell ref="Q31:R31"/>
    <mergeCell ref="Q32:R32"/>
    <mergeCell ref="Q33:R33"/>
    <mergeCell ref="Q34:R34"/>
    <mergeCell ref="Q35:R35"/>
    <mergeCell ref="Q18:R18"/>
    <mergeCell ref="Q20:R20"/>
    <mergeCell ref="Q19:R19"/>
    <mergeCell ref="Q21:R21"/>
    <mergeCell ref="Q22:R22"/>
    <mergeCell ref="Q23:R23"/>
    <mergeCell ref="Q24:R24"/>
    <mergeCell ref="Q25:R25"/>
    <mergeCell ref="Q26:R26"/>
    <mergeCell ref="F33:G33"/>
    <mergeCell ref="H35:I35"/>
    <mergeCell ref="H36:I36"/>
    <mergeCell ref="H37:I37"/>
    <mergeCell ref="H38:I38"/>
    <mergeCell ref="F53:G53"/>
    <mergeCell ref="M93:V93"/>
    <mergeCell ref="Q92:R92"/>
    <mergeCell ref="Q36:R36"/>
    <mergeCell ref="Q37:R37"/>
    <mergeCell ref="Q38:R38"/>
    <mergeCell ref="Q91:R91"/>
    <mergeCell ref="Q90:R90"/>
    <mergeCell ref="Q89:R89"/>
    <mergeCell ref="Q88:R88"/>
    <mergeCell ref="Q87:R87"/>
    <mergeCell ref="Q86:R86"/>
    <mergeCell ref="Q84:R84"/>
    <mergeCell ref="Q85:R85"/>
    <mergeCell ref="Q83:R83"/>
    <mergeCell ref="Q82:R82"/>
    <mergeCell ref="Q81:R81"/>
    <mergeCell ref="Q80:R80"/>
    <mergeCell ref="Q79:R79"/>
    <mergeCell ref="A1:G1"/>
    <mergeCell ref="A2:G2"/>
    <mergeCell ref="A3:G3"/>
    <mergeCell ref="A4:G4"/>
    <mergeCell ref="A6:G6"/>
    <mergeCell ref="A5:G5"/>
    <mergeCell ref="B18:C18"/>
    <mergeCell ref="B19:C19"/>
    <mergeCell ref="B16:C16"/>
    <mergeCell ref="B17:C17"/>
    <mergeCell ref="B11:C11"/>
    <mergeCell ref="B12:C12"/>
    <mergeCell ref="B13:C13"/>
    <mergeCell ref="B14:C14"/>
    <mergeCell ref="B15:C15"/>
    <mergeCell ref="F11:G11"/>
    <mergeCell ref="F12:G12"/>
    <mergeCell ref="F13:G13"/>
    <mergeCell ref="F14:G14"/>
    <mergeCell ref="F15:G15"/>
    <mergeCell ref="B22:C22"/>
    <mergeCell ref="B24:C24"/>
    <mergeCell ref="B20:C20"/>
    <mergeCell ref="B25:C25"/>
    <mergeCell ref="B26:C26"/>
    <mergeCell ref="B35:C35"/>
    <mergeCell ref="B27:C27"/>
    <mergeCell ref="B28:C28"/>
    <mergeCell ref="B21:C21"/>
    <mergeCell ref="B29:C29"/>
    <mergeCell ref="B30:C30"/>
    <mergeCell ref="B31:C31"/>
    <mergeCell ref="B32:C32"/>
    <mergeCell ref="B33:C33"/>
    <mergeCell ref="B34:C34"/>
    <mergeCell ref="B23:C23"/>
    <mergeCell ref="B39:C39"/>
    <mergeCell ref="B62:E62"/>
    <mergeCell ref="B36:C36"/>
    <mergeCell ref="F34:G34"/>
    <mergeCell ref="B44:C44"/>
    <mergeCell ref="B40:C40"/>
    <mergeCell ref="B41:C41"/>
    <mergeCell ref="B42:C42"/>
    <mergeCell ref="F62:G62"/>
    <mergeCell ref="B37:C37"/>
    <mergeCell ref="B38:C38"/>
    <mergeCell ref="F38:G38"/>
    <mergeCell ref="F58:G58"/>
    <mergeCell ref="F54:G54"/>
    <mergeCell ref="B50:C50"/>
    <mergeCell ref="B51:C51"/>
    <mergeCell ref="B52:C52"/>
    <mergeCell ref="F35:G35"/>
    <mergeCell ref="B59:C59"/>
    <mergeCell ref="F59:G59"/>
    <mergeCell ref="F36:G36"/>
    <mergeCell ref="F57:G57"/>
    <mergeCell ref="H7:I7"/>
    <mergeCell ref="A8:I8"/>
    <mergeCell ref="A9:I9"/>
    <mergeCell ref="B10:E10"/>
    <mergeCell ref="F10:G10"/>
    <mergeCell ref="H10:I10"/>
    <mergeCell ref="A7:G7"/>
    <mergeCell ref="B141:C141"/>
    <mergeCell ref="F141:G141"/>
    <mergeCell ref="F140:G140"/>
    <mergeCell ref="H66:I66"/>
    <mergeCell ref="F76:G76"/>
    <mergeCell ref="B54:C54"/>
    <mergeCell ref="H84:I84"/>
    <mergeCell ref="H80:I80"/>
    <mergeCell ref="H81:I81"/>
    <mergeCell ref="B96:C96"/>
    <mergeCell ref="B135:E135"/>
    <mergeCell ref="F135:G135"/>
    <mergeCell ref="H135:I135"/>
    <mergeCell ref="B137:E137"/>
    <mergeCell ref="F137:G137"/>
    <mergeCell ref="B140:C140"/>
    <mergeCell ref="B139:E139"/>
    <mergeCell ref="A143:I143"/>
    <mergeCell ref="F28:G28"/>
    <mergeCell ref="F29:G29"/>
    <mergeCell ref="F30:G30"/>
    <mergeCell ref="F16:G16"/>
    <mergeCell ref="F17:G17"/>
    <mergeCell ref="B104:C104"/>
    <mergeCell ref="F79:G79"/>
    <mergeCell ref="B97:C97"/>
    <mergeCell ref="B85:C85"/>
    <mergeCell ref="B86:C86"/>
    <mergeCell ref="B91:C91"/>
    <mergeCell ref="B92:C92"/>
    <mergeCell ref="B93:C93"/>
    <mergeCell ref="B123:C123"/>
    <mergeCell ref="B124:C124"/>
    <mergeCell ref="A83:I83"/>
    <mergeCell ref="F80:G80"/>
    <mergeCell ref="F81:G81"/>
    <mergeCell ref="B80:C80"/>
    <mergeCell ref="B94:C94"/>
    <mergeCell ref="B95:C95"/>
    <mergeCell ref="B115:C115"/>
    <mergeCell ref="F84:G84"/>
    <mergeCell ref="F21:G21"/>
    <mergeCell ref="F18:G18"/>
    <mergeCell ref="F19:G19"/>
    <mergeCell ref="F24:G24"/>
    <mergeCell ref="F25:G25"/>
    <mergeCell ref="F22:G22"/>
    <mergeCell ref="F32:G32"/>
    <mergeCell ref="F23:G23"/>
    <mergeCell ref="F26:G26"/>
    <mergeCell ref="F27:G27"/>
    <mergeCell ref="F31:G31"/>
    <mergeCell ref="F20:G20"/>
    <mergeCell ref="H19:I19"/>
    <mergeCell ref="H20:I20"/>
    <mergeCell ref="H21:I21"/>
    <mergeCell ref="H22:I22"/>
    <mergeCell ref="H15:I15"/>
    <mergeCell ref="H16:I16"/>
    <mergeCell ref="H17:I17"/>
    <mergeCell ref="H18:I18"/>
    <mergeCell ref="H11:I11"/>
    <mergeCell ref="H12:I12"/>
    <mergeCell ref="H13:I13"/>
    <mergeCell ref="H14:I14"/>
    <mergeCell ref="H31:I31"/>
    <mergeCell ref="H32:I32"/>
    <mergeCell ref="H33:I33"/>
    <mergeCell ref="H34:I34"/>
    <mergeCell ref="H27:I27"/>
    <mergeCell ref="H28:I28"/>
    <mergeCell ref="H29:I29"/>
    <mergeCell ref="H30:I30"/>
    <mergeCell ref="H23:I23"/>
    <mergeCell ref="H24:I24"/>
    <mergeCell ref="H25:I25"/>
    <mergeCell ref="H26:I26"/>
    <mergeCell ref="H59:I59"/>
    <mergeCell ref="H54:I54"/>
    <mergeCell ref="B55:C55"/>
    <mergeCell ref="B56:C56"/>
    <mergeCell ref="F55:G55"/>
    <mergeCell ref="H39:I39"/>
    <mergeCell ref="F39:G39"/>
    <mergeCell ref="F37:G37"/>
    <mergeCell ref="H40:I40"/>
    <mergeCell ref="F47:G47"/>
    <mergeCell ref="F50:G50"/>
    <mergeCell ref="F51:G51"/>
    <mergeCell ref="F52:G52"/>
    <mergeCell ref="H51:I51"/>
    <mergeCell ref="F40:G40"/>
    <mergeCell ref="F41:G41"/>
    <mergeCell ref="F42:G42"/>
    <mergeCell ref="F43:G43"/>
    <mergeCell ref="H46:I46"/>
    <mergeCell ref="H47:I47"/>
    <mergeCell ref="F44:G44"/>
    <mergeCell ref="H44:I44"/>
    <mergeCell ref="H41:I41"/>
    <mergeCell ref="H42:I42"/>
    <mergeCell ref="H56:I56"/>
    <mergeCell ref="H57:I57"/>
    <mergeCell ref="H58:I58"/>
    <mergeCell ref="H43:I43"/>
    <mergeCell ref="B47:C47"/>
    <mergeCell ref="B43:C43"/>
    <mergeCell ref="B48:C48"/>
    <mergeCell ref="B49:C49"/>
    <mergeCell ref="B46:E46"/>
    <mergeCell ref="F48:G48"/>
    <mergeCell ref="F49:G49"/>
    <mergeCell ref="H48:I48"/>
    <mergeCell ref="H49:I49"/>
    <mergeCell ref="H55:I55"/>
    <mergeCell ref="H50:I50"/>
    <mergeCell ref="B57:C57"/>
    <mergeCell ref="B58:C58"/>
    <mergeCell ref="H52:I52"/>
    <mergeCell ref="H53:I53"/>
    <mergeCell ref="F56:G56"/>
    <mergeCell ref="F46:G46"/>
    <mergeCell ref="B53:C53"/>
    <mergeCell ref="B67:I67"/>
    <mergeCell ref="B69:E69"/>
    <mergeCell ref="H61:I61"/>
    <mergeCell ref="F61:G61"/>
    <mergeCell ref="B61:C61"/>
    <mergeCell ref="B60:C60"/>
    <mergeCell ref="H62:I62"/>
    <mergeCell ref="H64:I64"/>
    <mergeCell ref="F66:G66"/>
    <mergeCell ref="B66:E66"/>
    <mergeCell ref="F60:G60"/>
    <mergeCell ref="H60:I60"/>
    <mergeCell ref="B64:E64"/>
    <mergeCell ref="F64:G64"/>
    <mergeCell ref="H76:I76"/>
    <mergeCell ref="B79:C79"/>
    <mergeCell ref="B75:C75"/>
    <mergeCell ref="B74:C74"/>
    <mergeCell ref="F73:G73"/>
    <mergeCell ref="F74:G74"/>
    <mergeCell ref="H79:I79"/>
    <mergeCell ref="H74:I74"/>
    <mergeCell ref="F69:G69"/>
    <mergeCell ref="F72:G72"/>
    <mergeCell ref="H72:I72"/>
    <mergeCell ref="B73:C73"/>
    <mergeCell ref="H73:I73"/>
    <mergeCell ref="H69:I69"/>
    <mergeCell ref="B72:E72"/>
    <mergeCell ref="H78:I78"/>
    <mergeCell ref="B76:C76"/>
    <mergeCell ref="B78:E78"/>
    <mergeCell ref="F78:G78"/>
    <mergeCell ref="B70:C70"/>
    <mergeCell ref="F70:G70"/>
    <mergeCell ref="H70:I70"/>
    <mergeCell ref="B114:C114"/>
    <mergeCell ref="B101:C101"/>
    <mergeCell ref="B110:C110"/>
    <mergeCell ref="B112:C112"/>
    <mergeCell ref="B105:C105"/>
    <mergeCell ref="B106:C106"/>
    <mergeCell ref="B107:C107"/>
    <mergeCell ref="B108:C108"/>
    <mergeCell ref="H75:I75"/>
    <mergeCell ref="F75:G75"/>
    <mergeCell ref="B87:C87"/>
    <mergeCell ref="B88:C88"/>
    <mergeCell ref="B89:C89"/>
    <mergeCell ref="B90:C90"/>
    <mergeCell ref="F85:G85"/>
    <mergeCell ref="F86:G86"/>
    <mergeCell ref="F87:G87"/>
    <mergeCell ref="F88:G88"/>
    <mergeCell ref="B81:C81"/>
    <mergeCell ref="B84:E84"/>
    <mergeCell ref="B100:C100"/>
    <mergeCell ref="F108:G108"/>
    <mergeCell ref="B102:C102"/>
    <mergeCell ref="F104:G104"/>
    <mergeCell ref="B98:C98"/>
    <mergeCell ref="B109:C109"/>
    <mergeCell ref="B113:C113"/>
    <mergeCell ref="B103:C103"/>
    <mergeCell ref="F99:G99"/>
    <mergeCell ref="F102:G102"/>
    <mergeCell ref="F103:G103"/>
    <mergeCell ref="B99:C99"/>
    <mergeCell ref="B111:C111"/>
    <mergeCell ref="F100:G100"/>
    <mergeCell ref="F89:G89"/>
    <mergeCell ref="F90:G90"/>
    <mergeCell ref="F94:G94"/>
    <mergeCell ref="F95:G95"/>
    <mergeCell ref="F91:G91"/>
    <mergeCell ref="F92:G92"/>
    <mergeCell ref="F93:G93"/>
    <mergeCell ref="F101:G101"/>
    <mergeCell ref="F105:G105"/>
    <mergeCell ref="F114:G114"/>
    <mergeCell ref="F115:G115"/>
    <mergeCell ref="F116:G116"/>
    <mergeCell ref="F109:G109"/>
    <mergeCell ref="F110:G110"/>
    <mergeCell ref="F111:G111"/>
    <mergeCell ref="F112:G112"/>
    <mergeCell ref="F113:G113"/>
    <mergeCell ref="F96:G96"/>
    <mergeCell ref="F97:G97"/>
    <mergeCell ref="F98:G98"/>
    <mergeCell ref="F106:G106"/>
    <mergeCell ref="F107:G107"/>
    <mergeCell ref="H93:I93"/>
    <mergeCell ref="H94:I94"/>
    <mergeCell ref="H95:I95"/>
    <mergeCell ref="H96:I96"/>
    <mergeCell ref="H89:I89"/>
    <mergeCell ref="H90:I90"/>
    <mergeCell ref="H91:I91"/>
    <mergeCell ref="H92:I92"/>
    <mergeCell ref="H85:I85"/>
    <mergeCell ref="H86:I86"/>
    <mergeCell ref="H87:I87"/>
    <mergeCell ref="H88:I88"/>
    <mergeCell ref="H101:I101"/>
    <mergeCell ref="H102:I102"/>
    <mergeCell ref="H103:I103"/>
    <mergeCell ref="H104:I104"/>
    <mergeCell ref="H105:I105"/>
    <mergeCell ref="H106:I106"/>
    <mergeCell ref="H107:I107"/>
    <mergeCell ref="H108:I108"/>
    <mergeCell ref="H97:I97"/>
    <mergeCell ref="H98:I98"/>
    <mergeCell ref="H99:I99"/>
    <mergeCell ref="H100:I100"/>
    <mergeCell ref="H109:I109"/>
    <mergeCell ref="H110:I110"/>
    <mergeCell ref="H111:I111"/>
    <mergeCell ref="H112:I112"/>
    <mergeCell ref="H113:I113"/>
    <mergeCell ref="H114:I114"/>
    <mergeCell ref="H115:I115"/>
    <mergeCell ref="H116:I116"/>
    <mergeCell ref="H120:I120"/>
    <mergeCell ref="B116:C116"/>
    <mergeCell ref="B119:D119"/>
    <mergeCell ref="B129:C129"/>
    <mergeCell ref="B125:C125"/>
    <mergeCell ref="B126:C126"/>
    <mergeCell ref="B127:C127"/>
    <mergeCell ref="B128:C128"/>
    <mergeCell ref="B120:C120"/>
    <mergeCell ref="B121:C121"/>
    <mergeCell ref="B122:C122"/>
    <mergeCell ref="F119:G119"/>
    <mergeCell ref="H119:I119"/>
    <mergeCell ref="B130:C130"/>
    <mergeCell ref="B131:C131"/>
    <mergeCell ref="F127:G127"/>
    <mergeCell ref="F128:G128"/>
    <mergeCell ref="F129:G129"/>
    <mergeCell ref="F130:G130"/>
    <mergeCell ref="H130:I130"/>
    <mergeCell ref="H131:I131"/>
    <mergeCell ref="H121:I121"/>
    <mergeCell ref="H122:I122"/>
    <mergeCell ref="H123:I123"/>
    <mergeCell ref="B132:C132"/>
    <mergeCell ref="B133:C133"/>
    <mergeCell ref="B134:C134"/>
    <mergeCell ref="F120:G120"/>
    <mergeCell ref="F121:G121"/>
    <mergeCell ref="F122:G122"/>
    <mergeCell ref="F123:G123"/>
    <mergeCell ref="F124:G124"/>
    <mergeCell ref="F133:G133"/>
    <mergeCell ref="F134:G134"/>
    <mergeCell ref="H141:I141"/>
    <mergeCell ref="H132:I132"/>
    <mergeCell ref="H133:I133"/>
    <mergeCell ref="H134:I134"/>
    <mergeCell ref="H137:I137"/>
    <mergeCell ref="H128:I128"/>
    <mergeCell ref="F132:G132"/>
    <mergeCell ref="H124:I124"/>
    <mergeCell ref="H125:I125"/>
    <mergeCell ref="H126:I126"/>
    <mergeCell ref="H127:I127"/>
    <mergeCell ref="H129:I129"/>
    <mergeCell ref="F131:G131"/>
    <mergeCell ref="F125:G125"/>
    <mergeCell ref="F126:G126"/>
    <mergeCell ref="F139:G139"/>
    <mergeCell ref="H139:I139"/>
    <mergeCell ref="H140:I140"/>
  </mergeCells>
  <phoneticPr fontId="25" type="noConversion"/>
  <pageMargins left="0.39370078740157483" right="0.39370078740157483" top="0.39370078740157483" bottom="0.39370078740157483" header="0.31496062992125984" footer="0.31496062992125984"/>
  <pageSetup paperSize="9" orientation="landscape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17"/>
  <dimension ref="A1:G26"/>
  <sheetViews>
    <sheetView topLeftCell="A7" zoomScale="90" zoomScaleNormal="90" workbookViewId="0">
      <selection activeCell="B11" sqref="B11:B12"/>
    </sheetView>
  </sheetViews>
  <sheetFormatPr defaultRowHeight="12.75"/>
  <cols>
    <col min="1" max="1" width="22.42578125" customWidth="1"/>
    <col min="2" max="2" width="15.7109375" customWidth="1"/>
    <col min="3" max="3" width="14" customWidth="1"/>
    <col min="4" max="6" width="12.85546875" customWidth="1"/>
    <col min="7" max="7" width="16.140625" customWidth="1"/>
  </cols>
  <sheetData>
    <row r="1" spans="1:7">
      <c r="A1" s="748" t="str">
        <f>Parâmetros!A7</f>
        <v>Município de : PORTÃO/RS</v>
      </c>
      <c r="B1" s="749"/>
      <c r="C1" s="749"/>
      <c r="D1" s="749"/>
      <c r="E1" s="749"/>
      <c r="F1" s="750"/>
      <c r="G1" s="166"/>
    </row>
    <row r="2" spans="1:7">
      <c r="A2" s="751" t="s">
        <v>36</v>
      </c>
      <c r="B2" s="749"/>
      <c r="C2" s="749"/>
      <c r="D2" s="749"/>
      <c r="E2" s="749"/>
      <c r="F2" s="750"/>
      <c r="G2" s="166"/>
    </row>
    <row r="3" spans="1:7">
      <c r="A3" s="751" t="str">
        <f>'Metas Cons'!A3:M3</f>
        <v>ANEXO DE METAS FISCAIS</v>
      </c>
      <c r="B3" s="749"/>
      <c r="C3" s="749"/>
      <c r="D3" s="749"/>
      <c r="E3" s="749"/>
      <c r="F3" s="750"/>
      <c r="G3" s="166"/>
    </row>
    <row r="4" spans="1:7">
      <c r="A4" s="579" t="s">
        <v>491</v>
      </c>
      <c r="B4" s="577"/>
      <c r="C4" s="577"/>
      <c r="D4" s="577"/>
      <c r="E4" s="577"/>
      <c r="F4" s="578"/>
      <c r="G4" s="166"/>
    </row>
    <row r="5" spans="1:7">
      <c r="A5" s="751" t="s">
        <v>598</v>
      </c>
      <c r="B5" s="749"/>
      <c r="C5" s="749"/>
      <c r="D5" s="749"/>
      <c r="E5" s="749"/>
      <c r="F5" s="750"/>
      <c r="G5" s="166"/>
    </row>
    <row r="6" spans="1:7">
      <c r="A6" s="751"/>
      <c r="B6" s="749"/>
      <c r="C6" s="749"/>
      <c r="D6" s="749"/>
      <c r="E6" s="749"/>
      <c r="F6" s="750"/>
      <c r="G6" s="166"/>
    </row>
    <row r="7" spans="1:7" s="34" customFormat="1" ht="11.25" customHeight="1">
      <c r="A7" s="507" t="s">
        <v>494</v>
      </c>
      <c r="B7" s="508"/>
      <c r="C7" s="508"/>
      <c r="D7" s="508"/>
      <c r="E7" s="508"/>
      <c r="F7" s="509"/>
      <c r="G7" s="510">
        <v>1</v>
      </c>
    </row>
    <row r="8" spans="1:7" s="35" customFormat="1" ht="11.25" customHeight="1">
      <c r="A8" s="626" t="s">
        <v>156</v>
      </c>
      <c r="B8" s="754" t="s">
        <v>157</v>
      </c>
      <c r="C8" s="743" t="s">
        <v>158</v>
      </c>
      <c r="D8" s="754" t="s">
        <v>103</v>
      </c>
      <c r="E8" s="757"/>
      <c r="F8" s="626"/>
      <c r="G8" s="743" t="s">
        <v>104</v>
      </c>
    </row>
    <row r="9" spans="1:7" s="35" customFormat="1" ht="11.25" customHeight="1">
      <c r="A9" s="627"/>
      <c r="B9" s="755"/>
      <c r="C9" s="744"/>
      <c r="D9" s="756"/>
      <c r="E9" s="758"/>
      <c r="F9" s="628"/>
      <c r="G9" s="744"/>
    </row>
    <row r="10" spans="1:7" s="34" customFormat="1" ht="24" customHeight="1">
      <c r="A10" s="628"/>
      <c r="B10" s="756"/>
      <c r="C10" s="745"/>
      <c r="D10" s="511">
        <f>Parâmetros!E10</f>
        <v>2019</v>
      </c>
      <c r="E10" s="511">
        <f>D10+1</f>
        <v>2020</v>
      </c>
      <c r="F10" s="511">
        <f>E10+1</f>
        <v>2021</v>
      </c>
      <c r="G10" s="745"/>
    </row>
    <row r="11" spans="1:7" s="34" customFormat="1" ht="26.25" customHeight="1">
      <c r="A11" s="512" t="s">
        <v>797</v>
      </c>
      <c r="B11" s="513" t="s">
        <v>798</v>
      </c>
      <c r="C11" s="512" t="s">
        <v>800</v>
      </c>
      <c r="D11" s="514">
        <v>0</v>
      </c>
      <c r="E11" s="515">
        <f>D11*(1+B24)</f>
        <v>0</v>
      </c>
      <c r="F11" s="515">
        <f>E11*(1+B25)</f>
        <v>0</v>
      </c>
      <c r="G11" s="746" t="s">
        <v>160</v>
      </c>
    </row>
    <row r="12" spans="1:7" s="34" customFormat="1" ht="42" customHeight="1">
      <c r="A12" s="512"/>
      <c r="B12" s="512" t="s">
        <v>799</v>
      </c>
      <c r="C12" s="512" t="s">
        <v>801</v>
      </c>
      <c r="D12" s="514">
        <v>45000</v>
      </c>
      <c r="E12" s="515">
        <v>80000</v>
      </c>
      <c r="F12" s="515">
        <f>E12*(1+B25)</f>
        <v>83152.000000000015</v>
      </c>
      <c r="G12" s="747"/>
    </row>
    <row r="13" spans="1:7" s="34" customFormat="1" ht="45.75" customHeight="1">
      <c r="A13" s="512"/>
      <c r="B13" s="512"/>
      <c r="C13" s="512"/>
      <c r="D13" s="514">
        <v>0</v>
      </c>
      <c r="E13" s="515">
        <f>D13*(1+B24)</f>
        <v>0</v>
      </c>
      <c r="F13" s="515">
        <f>E13*(1+B25)</f>
        <v>0</v>
      </c>
      <c r="G13" s="516" t="s">
        <v>161</v>
      </c>
    </row>
    <row r="14" spans="1:7" s="34" customFormat="1" ht="11.25" customHeight="1">
      <c r="A14" s="512"/>
      <c r="B14" s="512"/>
      <c r="C14" s="512"/>
      <c r="D14" s="514"/>
      <c r="E14" s="515">
        <f>D14*(1+B24)</f>
        <v>0</v>
      </c>
      <c r="F14" s="515">
        <f>E14*(1+B25)</f>
        <v>0</v>
      </c>
      <c r="G14" s="516"/>
    </row>
    <row r="15" spans="1:7" s="34" customFormat="1" ht="11.25" customHeight="1">
      <c r="A15" s="512"/>
      <c r="B15" s="512"/>
      <c r="C15" s="512"/>
      <c r="D15" s="514"/>
      <c r="E15" s="515">
        <f>D15*(1+B24)</f>
        <v>0</v>
      </c>
      <c r="F15" s="515">
        <f>E15*(1+B25)</f>
        <v>0</v>
      </c>
      <c r="G15" s="516"/>
    </row>
    <row r="16" spans="1:7" s="34" customFormat="1" ht="11.25" customHeight="1">
      <c r="A16" s="512"/>
      <c r="B16" s="512"/>
      <c r="C16" s="512"/>
      <c r="D16" s="514"/>
      <c r="E16" s="515">
        <f>D16*(1+B24)</f>
        <v>0</v>
      </c>
      <c r="F16" s="515">
        <f>E16*(1+B25)</f>
        <v>0</v>
      </c>
      <c r="G16" s="516"/>
    </row>
    <row r="17" spans="1:7" s="34" customFormat="1" ht="11.25" customHeight="1">
      <c r="A17" s="356"/>
      <c r="B17" s="356"/>
      <c r="C17" s="356"/>
      <c r="D17" s="517"/>
      <c r="E17" s="515">
        <f>D17*(1+B24)</f>
        <v>0</v>
      </c>
      <c r="F17" s="515">
        <f>E17*(1+B25)</f>
        <v>0</v>
      </c>
      <c r="G17" s="354"/>
    </row>
    <row r="18" spans="1:7" s="34" customFormat="1" ht="11.25" customHeight="1">
      <c r="A18" s="752" t="s">
        <v>89</v>
      </c>
      <c r="B18" s="752"/>
      <c r="C18" s="753"/>
      <c r="D18" s="518">
        <f>SUM(D11:D17)</f>
        <v>45000</v>
      </c>
      <c r="E18" s="518">
        <f>SUM(E11:E17)</f>
        <v>80000</v>
      </c>
      <c r="F18" s="518">
        <f>SUM(F11:F17)</f>
        <v>83152.000000000015</v>
      </c>
      <c r="G18" s="519" t="s">
        <v>159</v>
      </c>
    </row>
    <row r="19" spans="1:7" s="34" customFormat="1" ht="11.25" customHeight="1">
      <c r="A19" s="462" t="s">
        <v>792</v>
      </c>
      <c r="B19" s="520"/>
      <c r="C19" s="520"/>
      <c r="D19" s="520"/>
      <c r="E19" s="520"/>
      <c r="F19" s="520"/>
      <c r="G19" s="520"/>
    </row>
    <row r="20" spans="1:7">
      <c r="A20" s="166" t="s">
        <v>614</v>
      </c>
      <c r="B20" s="463"/>
      <c r="C20" s="463"/>
      <c r="D20" s="463"/>
      <c r="E20" s="463"/>
      <c r="F20" s="463"/>
      <c r="G20" s="166"/>
    </row>
    <row r="21" spans="1:7">
      <c r="A21" s="166" t="s">
        <v>141</v>
      </c>
      <c r="B21" s="166"/>
      <c r="C21" s="166"/>
      <c r="D21" s="166"/>
      <c r="E21" s="166"/>
      <c r="F21" s="166"/>
      <c r="G21" s="166"/>
    </row>
    <row r="22" spans="1:7">
      <c r="A22" s="166" t="s">
        <v>802</v>
      </c>
      <c r="B22" s="166"/>
      <c r="C22" s="166"/>
      <c r="D22" s="166"/>
      <c r="E22" s="166"/>
      <c r="F22" s="166"/>
      <c r="G22" s="166"/>
    </row>
    <row r="23" spans="1:7">
      <c r="A23" s="166" t="s">
        <v>144</v>
      </c>
      <c r="B23" s="166"/>
      <c r="C23" s="166"/>
      <c r="D23" s="166"/>
      <c r="E23" s="166"/>
      <c r="F23" s="166"/>
      <c r="G23" s="166"/>
    </row>
    <row r="24" spans="1:7">
      <c r="A24" s="166" t="s">
        <v>410</v>
      </c>
      <c r="B24" s="521">
        <f>Parâmetros!F11</f>
        <v>4.02E-2</v>
      </c>
      <c r="C24" s="166"/>
      <c r="D24" s="166"/>
      <c r="E24" s="166"/>
      <c r="F24" s="166"/>
      <c r="G24" s="166"/>
    </row>
    <row r="25" spans="1:7">
      <c r="A25" s="166" t="s">
        <v>615</v>
      </c>
      <c r="B25" s="521">
        <f>Parâmetros!G11</f>
        <v>3.9399999999999998E-2</v>
      </c>
      <c r="C25" s="166"/>
      <c r="D25" s="166"/>
      <c r="E25" s="166"/>
      <c r="F25" s="166"/>
      <c r="G25" s="166"/>
    </row>
    <row r="26" spans="1:7">
      <c r="B26" s="33"/>
    </row>
  </sheetData>
  <mergeCells count="13">
    <mergeCell ref="A18:C18"/>
    <mergeCell ref="A5:F5"/>
    <mergeCell ref="A6:F6"/>
    <mergeCell ref="A8:A10"/>
    <mergeCell ref="B8:B10"/>
    <mergeCell ref="C8:C10"/>
    <mergeCell ref="D8:F9"/>
    <mergeCell ref="G8:G10"/>
    <mergeCell ref="G11:G12"/>
    <mergeCell ref="A1:F1"/>
    <mergeCell ref="A2:F2"/>
    <mergeCell ref="A3:F3"/>
    <mergeCell ref="A4:F4"/>
  </mergeCells>
  <phoneticPr fontId="25" type="noConversion"/>
  <pageMargins left="0.78740157480314965" right="0.78740157480314965" top="0.98425196850393704" bottom="0.98425196850393704" header="0.51181102362204722" footer="0.51181102362204722"/>
  <pageSetup scale="80" orientation="landscape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Plan18"/>
  <dimension ref="A1:B31"/>
  <sheetViews>
    <sheetView topLeftCell="A16" zoomScale="90" workbookViewId="0">
      <selection activeCell="D49" sqref="D49"/>
    </sheetView>
  </sheetViews>
  <sheetFormatPr defaultRowHeight="12.75"/>
  <cols>
    <col min="1" max="1" width="55.5703125" style="11" customWidth="1"/>
    <col min="2" max="2" width="47.5703125" style="11" customWidth="1"/>
    <col min="3" max="16384" width="9.140625" style="11"/>
  </cols>
  <sheetData>
    <row r="1" spans="1:2" ht="15">
      <c r="A1" s="759" t="str">
        <f>Parâmetros!A7</f>
        <v>Município de : PORTÃO/RS</v>
      </c>
      <c r="B1" s="760"/>
    </row>
    <row r="2" spans="1:2" ht="15">
      <c r="A2" s="761" t="s">
        <v>36</v>
      </c>
      <c r="B2" s="760"/>
    </row>
    <row r="3" spans="1:2" ht="15">
      <c r="A3" s="761" t="str">
        <f>'Metas Cons'!A3:M3</f>
        <v>ANEXO DE METAS FISCAIS</v>
      </c>
      <c r="B3" s="760"/>
    </row>
    <row r="4" spans="1:2" ht="14.25">
      <c r="A4" s="764" t="s">
        <v>492</v>
      </c>
      <c r="B4" s="765"/>
    </row>
    <row r="5" spans="1:2" ht="15">
      <c r="A5" s="761" t="s">
        <v>598</v>
      </c>
      <c r="B5" s="760"/>
    </row>
    <row r="6" spans="1:2" ht="15">
      <c r="A6" s="761"/>
      <c r="B6" s="760"/>
    </row>
    <row r="7" spans="1:2" ht="15">
      <c r="A7" s="493" t="s">
        <v>493</v>
      </c>
      <c r="B7" s="494">
        <v>1</v>
      </c>
    </row>
    <row r="8" spans="1:2" s="12" customFormat="1" ht="25.5" customHeight="1">
      <c r="A8" s="495" t="s">
        <v>105</v>
      </c>
      <c r="B8" s="496" t="s">
        <v>603</v>
      </c>
    </row>
    <row r="9" spans="1:2" ht="14.25">
      <c r="A9" s="497" t="s">
        <v>106</v>
      </c>
      <c r="B9" s="498">
        <f>(B10+B11)</f>
        <v>-5246668.8992257752</v>
      </c>
    </row>
    <row r="10" spans="1:2" ht="15">
      <c r="A10" s="499" t="s">
        <v>137</v>
      </c>
      <c r="B10" s="500">
        <f>(Projeções!G9/(1+Parâmetros!E11))-(Projeções!F9*(1+Parâmetros!D11))</f>
        <v>-1937253.6437930427</v>
      </c>
    </row>
    <row r="11" spans="1:2" ht="15">
      <c r="A11" s="499" t="s">
        <v>138</v>
      </c>
      <c r="B11" s="500">
        <f>(Projeções!G39/(1+Parâmetros!E11))-(Projeções!F39*(1+Parâmetros!D11))</f>
        <v>-3309415.2554327324</v>
      </c>
    </row>
    <row r="12" spans="1:2" ht="15">
      <c r="A12" s="499" t="s">
        <v>184</v>
      </c>
      <c r="B12" s="500">
        <v>0</v>
      </c>
    </row>
    <row r="13" spans="1:2" ht="15">
      <c r="A13" s="501" t="s">
        <v>146</v>
      </c>
      <c r="B13" s="500">
        <f>(Projeções!G101/(1+Parâmetros!E11)-(Projeções!F101*(1+Parâmetros!D11)))</f>
        <v>332376.10314349737</v>
      </c>
    </row>
    <row r="14" spans="1:2" ht="14.25">
      <c r="A14" s="502" t="s">
        <v>107</v>
      </c>
      <c r="B14" s="503">
        <f>B9+B13</f>
        <v>-4914292.7960822778</v>
      </c>
    </row>
    <row r="15" spans="1:2" ht="15">
      <c r="A15" s="501" t="s">
        <v>108</v>
      </c>
      <c r="B15" s="504">
        <v>0</v>
      </c>
    </row>
    <row r="16" spans="1:2" ht="15">
      <c r="A16" s="501" t="s">
        <v>109</v>
      </c>
      <c r="B16" s="503">
        <f>B14+B15</f>
        <v>-4914292.7960822778</v>
      </c>
    </row>
    <row r="17" spans="1:2" ht="15">
      <c r="A17" s="499" t="s">
        <v>110</v>
      </c>
      <c r="B17" s="500"/>
    </row>
    <row r="18" spans="1:2" ht="14.25">
      <c r="A18" s="502" t="s">
        <v>181</v>
      </c>
      <c r="B18" s="503">
        <f>B19+B20</f>
        <v>559785.13389314339</v>
      </c>
    </row>
    <row r="19" spans="1:2" ht="15">
      <c r="A19" s="501" t="s">
        <v>139</v>
      </c>
      <c r="B19" s="500">
        <f>Projeções!G114/(1+Parâmetros!E11)-(Projeções!F114*(1+Parâmetros!D11))</f>
        <v>3326257.3161049411</v>
      </c>
    </row>
    <row r="20" spans="1:2" ht="15">
      <c r="A20" s="501" t="s">
        <v>140</v>
      </c>
      <c r="B20" s="500">
        <f>Projeções!G122/(1+Parâmetros!E11)-Projeções!F122*(1+Parâmetros!D11)</f>
        <v>-2766472.1822117977</v>
      </c>
    </row>
    <row r="21" spans="1:2" ht="15">
      <c r="A21" s="502" t="s">
        <v>182</v>
      </c>
      <c r="B21" s="505">
        <v>0</v>
      </c>
    </row>
    <row r="22" spans="1:2" ht="21" customHeight="1">
      <c r="A22" s="502" t="s">
        <v>183</v>
      </c>
      <c r="B22" s="506" t="str">
        <f>IF(B16-B17-B18&lt;0,"SEM MARGEM",B16-B17-B18)</f>
        <v>SEM MARGEM</v>
      </c>
    </row>
    <row r="23" spans="1:2" ht="15">
      <c r="A23" s="762" t="s">
        <v>792</v>
      </c>
      <c r="B23" s="763"/>
    </row>
    <row r="24" spans="1:2">
      <c r="A24" s="7"/>
    </row>
    <row r="25" spans="1:2">
      <c r="A25" s="42"/>
      <c r="B25" s="42"/>
    </row>
    <row r="26" spans="1:2">
      <c r="A26" s="42"/>
    </row>
    <row r="27" spans="1:2">
      <c r="A27" s="42"/>
    </row>
    <row r="28" spans="1:2">
      <c r="A28" s="42"/>
    </row>
    <row r="29" spans="1:2">
      <c r="A29" s="42"/>
    </row>
    <row r="30" spans="1:2">
      <c r="A30" s="42"/>
    </row>
    <row r="31" spans="1:2">
      <c r="A31" s="42"/>
    </row>
  </sheetData>
  <mergeCells count="7">
    <mergeCell ref="A1:B1"/>
    <mergeCell ref="A2:B2"/>
    <mergeCell ref="A23:B23"/>
    <mergeCell ref="A3:B3"/>
    <mergeCell ref="A4:B4"/>
    <mergeCell ref="A5:B5"/>
    <mergeCell ref="A6:B6"/>
  </mergeCells>
  <phoneticPr fontId="25" type="noConversion"/>
  <pageMargins left="0.78740157480314965" right="0.78740157480314965" top="0.98425196850393704" bottom="0.98425196850393704" header="0.51181102362204722" footer="0.51181102362204722"/>
  <pageSetup paperSize="9" scale="80" orientation="landscape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29"/>
  <sheetViews>
    <sheetView zoomScale="90" workbookViewId="0">
      <selection activeCell="F25" sqref="F25"/>
    </sheetView>
  </sheetViews>
  <sheetFormatPr defaultRowHeight="11.25"/>
  <cols>
    <col min="1" max="1" width="49.140625" style="43" customWidth="1"/>
    <col min="2" max="2" width="44.7109375" style="43" customWidth="1"/>
    <col min="3" max="16384" width="9.140625" style="43"/>
  </cols>
  <sheetData>
    <row r="1" spans="1:2" ht="15">
      <c r="A1" s="770" t="str">
        <f>Parâmetros!A7</f>
        <v>Município de : PORTÃO/RS</v>
      </c>
      <c r="B1" s="767"/>
    </row>
    <row r="2" spans="1:2" ht="15">
      <c r="A2" s="766" t="s">
        <v>36</v>
      </c>
      <c r="B2" s="767"/>
    </row>
    <row r="3" spans="1:2" ht="15">
      <c r="A3" s="766" t="str">
        <f>'Metas Cons'!A3:M3</f>
        <v>ANEXO DE METAS FISCAIS</v>
      </c>
      <c r="B3" s="767"/>
    </row>
    <row r="4" spans="1:2" ht="14.25">
      <c r="A4" s="584" t="s">
        <v>492</v>
      </c>
      <c r="B4" s="583"/>
    </row>
    <row r="5" spans="1:2" ht="15">
      <c r="A5" s="766" t="s">
        <v>598</v>
      </c>
      <c r="B5" s="767"/>
    </row>
    <row r="6" spans="1:2" ht="15">
      <c r="A6" s="766"/>
      <c r="B6" s="767"/>
    </row>
    <row r="7" spans="1:2" ht="15">
      <c r="A7" s="478" t="s">
        <v>493</v>
      </c>
      <c r="B7" s="479">
        <v>1</v>
      </c>
    </row>
    <row r="8" spans="1:2" s="44" customFormat="1" ht="25.5" customHeight="1">
      <c r="A8" s="480" t="s">
        <v>105</v>
      </c>
      <c r="B8" s="481" t="s">
        <v>603</v>
      </c>
    </row>
    <row r="9" spans="1:2" ht="14.25">
      <c r="A9" s="482" t="s">
        <v>106</v>
      </c>
      <c r="B9" s="483"/>
    </row>
    <row r="10" spans="1:2" ht="15">
      <c r="A10" s="484" t="s">
        <v>137</v>
      </c>
      <c r="B10" s="485"/>
    </row>
    <row r="11" spans="1:2" ht="15">
      <c r="A11" s="484" t="s">
        <v>138</v>
      </c>
      <c r="B11" s="485"/>
    </row>
    <row r="12" spans="1:2" ht="15">
      <c r="A12" s="486" t="s">
        <v>146</v>
      </c>
      <c r="B12" s="485"/>
    </row>
    <row r="13" spans="1:2" ht="28.5">
      <c r="A13" s="487" t="s">
        <v>107</v>
      </c>
      <c r="B13" s="488"/>
    </row>
    <row r="14" spans="1:2" ht="15">
      <c r="A14" s="486" t="s">
        <v>108</v>
      </c>
      <c r="B14" s="489"/>
    </row>
    <row r="15" spans="1:2" ht="15">
      <c r="A15" s="486" t="s">
        <v>109</v>
      </c>
      <c r="B15" s="488"/>
    </row>
    <row r="16" spans="1:2" ht="15">
      <c r="A16" s="484" t="s">
        <v>110</v>
      </c>
      <c r="B16" s="485"/>
    </row>
    <row r="17" spans="1:2" ht="14.25">
      <c r="A17" s="487" t="s">
        <v>111</v>
      </c>
      <c r="B17" s="488"/>
    </row>
    <row r="18" spans="1:2" ht="15">
      <c r="A18" s="486" t="s">
        <v>139</v>
      </c>
      <c r="B18" s="485"/>
    </row>
    <row r="19" spans="1:2" ht="15">
      <c r="A19" s="486" t="s">
        <v>140</v>
      </c>
      <c r="B19" s="485"/>
    </row>
    <row r="20" spans="1:2" ht="14.25">
      <c r="A20" s="487" t="s">
        <v>112</v>
      </c>
      <c r="B20" s="490">
        <f>IF(B15-B16-B17&lt;0,"SEM MARGEM",B15-B16-B17)</f>
        <v>0</v>
      </c>
    </row>
    <row r="21" spans="1:2">
      <c r="A21" s="768" t="s">
        <v>792</v>
      </c>
      <c r="B21" s="769"/>
    </row>
    <row r="22" spans="1:2">
      <c r="A22" s="491"/>
      <c r="B22" s="264"/>
    </row>
    <row r="23" spans="1:2">
      <c r="A23" s="492"/>
      <c r="B23" s="492"/>
    </row>
    <row r="24" spans="1:2">
      <c r="A24" s="492"/>
      <c r="B24" s="264"/>
    </row>
    <row r="25" spans="1:2">
      <c r="A25" s="492"/>
      <c r="B25" s="264"/>
    </row>
    <row r="26" spans="1:2">
      <c r="A26" s="45"/>
    </row>
    <row r="27" spans="1:2">
      <c r="A27" s="45"/>
    </row>
    <row r="28" spans="1:2">
      <c r="A28" s="45"/>
    </row>
    <row r="29" spans="1:2">
      <c r="A29" s="45"/>
    </row>
  </sheetData>
  <mergeCells count="7">
    <mergeCell ref="A5:B5"/>
    <mergeCell ref="A6:B6"/>
    <mergeCell ref="A21:B21"/>
    <mergeCell ref="A1:B1"/>
    <mergeCell ref="A2:B2"/>
    <mergeCell ref="A3:B3"/>
    <mergeCell ref="A4:B4"/>
  </mergeCells>
  <phoneticPr fontId="25" type="noConversion"/>
  <pageMargins left="0.78740157480314965" right="0.78740157480314965" top="0.98425196850393704" bottom="0.98425196850393704" header="0.51181102362204722" footer="0.51181102362204722"/>
  <pageSetup orientation="landscape" horizontalDpi="300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2"/>
  <sheetViews>
    <sheetView topLeftCell="A7" workbookViewId="0">
      <selection activeCell="C34" sqref="C34"/>
    </sheetView>
  </sheetViews>
  <sheetFormatPr defaultRowHeight="12.75"/>
  <cols>
    <col min="1" max="1" width="38.85546875" style="11" customWidth="1"/>
    <col min="2" max="2" width="15.7109375" style="11" customWidth="1"/>
    <col min="3" max="3" width="36.85546875" style="11" customWidth="1"/>
    <col min="4" max="4" width="15.7109375" style="11" customWidth="1"/>
    <col min="5" max="5" width="9.140625" style="11"/>
  </cols>
  <sheetData>
    <row r="1" spans="1:4" ht="15">
      <c r="A1" s="775" t="str">
        <f>Parâmetros!A7</f>
        <v>Município de : PORTÃO/RS</v>
      </c>
      <c r="B1" s="773"/>
      <c r="C1" s="773"/>
      <c r="D1" s="773"/>
    </row>
    <row r="2" spans="1:4" ht="15">
      <c r="A2" s="773" t="s">
        <v>36</v>
      </c>
      <c r="B2" s="773"/>
      <c r="C2" s="773"/>
      <c r="D2" s="773"/>
    </row>
    <row r="3" spans="1:4" ht="15">
      <c r="A3" s="773" t="s">
        <v>163</v>
      </c>
      <c r="B3" s="773"/>
      <c r="C3" s="773"/>
      <c r="D3" s="773"/>
    </row>
    <row r="4" spans="1:4" ht="14.25">
      <c r="A4" s="776" t="s">
        <v>113</v>
      </c>
      <c r="B4" s="776"/>
      <c r="C4" s="776"/>
      <c r="D4" s="776"/>
    </row>
    <row r="5" spans="1:4" ht="15">
      <c r="A5" s="773" t="s">
        <v>598</v>
      </c>
      <c r="B5" s="773"/>
      <c r="C5" s="773"/>
      <c r="D5" s="773"/>
    </row>
    <row r="6" spans="1:4" ht="15">
      <c r="A6" s="774"/>
      <c r="B6" s="774"/>
      <c r="C6" s="774"/>
      <c r="D6" s="774"/>
    </row>
    <row r="7" spans="1:4" ht="15">
      <c r="A7" s="771" t="s">
        <v>806</v>
      </c>
      <c r="B7" s="771"/>
      <c r="C7" s="772">
        <v>1</v>
      </c>
      <c r="D7" s="772"/>
    </row>
    <row r="8" spans="1:4" ht="14.25">
      <c r="A8" s="465" t="s">
        <v>164</v>
      </c>
      <c r="B8" s="465"/>
      <c r="C8" s="465" t="s">
        <v>114</v>
      </c>
      <c r="D8" s="465"/>
    </row>
    <row r="9" spans="1:4" ht="14.25">
      <c r="A9" s="465" t="s">
        <v>115</v>
      </c>
      <c r="B9" s="465" t="s">
        <v>57</v>
      </c>
      <c r="C9" s="465" t="s">
        <v>115</v>
      </c>
      <c r="D9" s="465" t="s">
        <v>57</v>
      </c>
    </row>
    <row r="10" spans="1:4" ht="30">
      <c r="A10" s="466" t="s">
        <v>165</v>
      </c>
      <c r="B10" s="467">
        <v>350000</v>
      </c>
      <c r="C10" s="468" t="s">
        <v>803</v>
      </c>
      <c r="D10" s="467">
        <v>350000</v>
      </c>
    </row>
    <row r="11" spans="1:4" ht="15">
      <c r="A11" s="466" t="s">
        <v>166</v>
      </c>
      <c r="B11" s="467"/>
      <c r="C11" s="468" t="s">
        <v>804</v>
      </c>
      <c r="D11" s="467"/>
    </row>
    <row r="12" spans="1:4" ht="15">
      <c r="A12" s="466" t="s">
        <v>167</v>
      </c>
      <c r="B12" s="467"/>
      <c r="C12" s="468"/>
      <c r="D12" s="467"/>
    </row>
    <row r="13" spans="1:4" ht="15">
      <c r="A13" s="466" t="s">
        <v>168</v>
      </c>
      <c r="B13" s="467"/>
      <c r="C13" s="468"/>
      <c r="D13" s="467"/>
    </row>
    <row r="14" spans="1:4" ht="15">
      <c r="A14" s="466" t="s">
        <v>169</v>
      </c>
      <c r="B14" s="467"/>
      <c r="C14" s="468"/>
      <c r="D14" s="467"/>
    </row>
    <row r="15" spans="1:4" ht="15">
      <c r="A15" s="466" t="s">
        <v>170</v>
      </c>
      <c r="B15" s="467"/>
      <c r="C15" s="468"/>
      <c r="D15" s="467"/>
    </row>
    <row r="16" spans="1:4" ht="14.25">
      <c r="A16" s="469" t="s">
        <v>171</v>
      </c>
      <c r="B16" s="470">
        <v>350000</v>
      </c>
      <c r="C16" s="471" t="s">
        <v>171</v>
      </c>
      <c r="D16" s="472">
        <v>350000</v>
      </c>
    </row>
    <row r="17" spans="1:4" ht="15">
      <c r="A17" s="473"/>
      <c r="B17" s="473"/>
      <c r="C17" s="474"/>
      <c r="D17" s="475"/>
    </row>
    <row r="18" spans="1:4" ht="28.5">
      <c r="A18" s="476" t="s">
        <v>172</v>
      </c>
      <c r="B18" s="476"/>
      <c r="C18" s="465" t="s">
        <v>114</v>
      </c>
      <c r="D18" s="465"/>
    </row>
    <row r="19" spans="1:4" ht="14.25">
      <c r="A19" s="465" t="s">
        <v>115</v>
      </c>
      <c r="B19" s="465" t="s">
        <v>57</v>
      </c>
      <c r="C19" s="465" t="s">
        <v>115</v>
      </c>
      <c r="D19" s="465" t="s">
        <v>57</v>
      </c>
    </row>
    <row r="20" spans="1:4" ht="15">
      <c r="A20" s="466" t="s">
        <v>173</v>
      </c>
      <c r="B20" s="467">
        <v>500000</v>
      </c>
      <c r="C20" s="468" t="s">
        <v>805</v>
      </c>
      <c r="D20" s="467">
        <v>500000</v>
      </c>
    </row>
    <row r="21" spans="1:4" ht="15">
      <c r="A21" s="466" t="s">
        <v>174</v>
      </c>
      <c r="B21" s="467"/>
      <c r="C21" s="468"/>
      <c r="D21" s="467"/>
    </row>
    <row r="22" spans="1:4" ht="15">
      <c r="A22" s="466" t="s">
        <v>175</v>
      </c>
      <c r="B22" s="467"/>
      <c r="C22" s="468"/>
      <c r="D22" s="467"/>
    </row>
    <row r="23" spans="1:4" ht="15">
      <c r="A23" s="466" t="s">
        <v>176</v>
      </c>
      <c r="B23" s="467"/>
      <c r="C23" s="468"/>
      <c r="D23" s="467"/>
    </row>
    <row r="24" spans="1:4" ht="15">
      <c r="A24" s="466" t="s">
        <v>171</v>
      </c>
      <c r="B24" s="477">
        <v>500000</v>
      </c>
      <c r="C24" s="466" t="s">
        <v>171</v>
      </c>
      <c r="D24" s="477">
        <v>500000</v>
      </c>
    </row>
    <row r="25" spans="1:4" ht="14.25">
      <c r="A25" s="471" t="s">
        <v>89</v>
      </c>
      <c r="B25" s="472">
        <v>850000</v>
      </c>
      <c r="C25" s="471" t="s">
        <v>89</v>
      </c>
      <c r="D25" s="472">
        <v>850000</v>
      </c>
    </row>
    <row r="26" spans="1:4">
      <c r="A26" s="166"/>
      <c r="B26" s="166"/>
      <c r="C26" s="166"/>
      <c r="D26" s="166"/>
    </row>
    <row r="27" spans="1:4">
      <c r="A27" s="166"/>
      <c r="B27" s="166"/>
      <c r="C27" s="166"/>
      <c r="D27" s="166"/>
    </row>
    <row r="28" spans="1:4">
      <c r="A28" s="166"/>
      <c r="B28" s="166"/>
      <c r="C28" s="166"/>
      <c r="D28" s="166"/>
    </row>
    <row r="29" spans="1:4">
      <c r="A29" s="166"/>
      <c r="B29" s="166"/>
      <c r="C29" s="166"/>
      <c r="D29" s="166"/>
    </row>
    <row r="30" spans="1:4">
      <c r="A30" s="166"/>
      <c r="B30" s="166"/>
      <c r="C30" s="166"/>
      <c r="D30" s="166"/>
    </row>
    <row r="31" spans="1:4">
      <c r="A31" s="166"/>
      <c r="B31" s="166"/>
      <c r="C31" s="166"/>
      <c r="D31" s="166"/>
    </row>
    <row r="32" spans="1:4">
      <c r="A32" s="166"/>
      <c r="B32" s="166"/>
      <c r="C32" s="166"/>
      <c r="D32" s="166"/>
    </row>
  </sheetData>
  <mergeCells count="8">
    <mergeCell ref="A7:B7"/>
    <mergeCell ref="C7:D7"/>
    <mergeCell ref="A5:D5"/>
    <mergeCell ref="A6:D6"/>
    <mergeCell ref="A1:D1"/>
    <mergeCell ref="A2:D2"/>
    <mergeCell ref="A3:D3"/>
    <mergeCell ref="A4:D4"/>
  </mergeCells>
  <phoneticPr fontId="25" type="noConversion"/>
  <pageMargins left="0.78740157480314965" right="0.78740157480314965" top="0.98425196850393704" bottom="0.98425196850393704" header="0.51181102362204722" footer="0.51181102362204722"/>
  <pageSetup orientation="landscape" verticalDpi="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555"/>
  <sheetViews>
    <sheetView showGridLines="0" topLeftCell="A511" workbookViewId="0">
      <selection activeCell="I424" sqref="I424"/>
    </sheetView>
  </sheetViews>
  <sheetFormatPr defaultRowHeight="12.75"/>
  <cols>
    <col min="2" max="2" width="50" customWidth="1"/>
    <col min="3" max="3" width="9.85546875" customWidth="1"/>
    <col min="4" max="4" width="12" customWidth="1"/>
    <col min="5" max="5" width="20.28515625" customWidth="1"/>
    <col min="11" max="11" width="24.5703125" customWidth="1"/>
    <col min="12" max="12" width="13.85546875" bestFit="1" customWidth="1"/>
  </cols>
  <sheetData>
    <row r="1" spans="1:12">
      <c r="A1" s="553" t="s">
        <v>604</v>
      </c>
      <c r="B1" s="553"/>
      <c r="C1" s="553"/>
      <c r="D1" s="553"/>
      <c r="E1" s="553"/>
    </row>
    <row r="2" spans="1:12">
      <c r="A2" s="553"/>
      <c r="B2" s="553"/>
      <c r="C2" s="553"/>
      <c r="D2" s="553"/>
      <c r="E2" s="553"/>
    </row>
    <row r="3" spans="1:12" ht="84.75" customHeight="1">
      <c r="A3" s="553"/>
      <c r="B3" s="553"/>
      <c r="C3" s="553"/>
      <c r="D3" s="553"/>
      <c r="E3" s="553"/>
      <c r="K3" s="257"/>
      <c r="L3" s="257"/>
    </row>
    <row r="4" spans="1:12">
      <c r="A4" s="166" t="s">
        <v>635</v>
      </c>
      <c r="K4" s="257"/>
      <c r="L4" s="257"/>
    </row>
    <row r="5" spans="1:12">
      <c r="A5" s="166" t="s">
        <v>636</v>
      </c>
      <c r="K5" s="257"/>
      <c r="L5" s="257"/>
    </row>
    <row r="6" spans="1:12" ht="13.5" thickBot="1">
      <c r="A6" s="166"/>
      <c r="K6" s="257"/>
      <c r="L6" s="257"/>
    </row>
    <row r="7" spans="1:12" ht="12.75" customHeight="1">
      <c r="A7" s="783" t="s">
        <v>188</v>
      </c>
      <c r="B7" s="248" t="s">
        <v>189</v>
      </c>
      <c r="C7" s="783" t="s">
        <v>190</v>
      </c>
      <c r="D7" s="777"/>
      <c r="E7" s="248"/>
      <c r="K7" s="257"/>
    </row>
    <row r="8" spans="1:12">
      <c r="A8" s="784"/>
      <c r="B8" s="249"/>
      <c r="C8" s="784"/>
      <c r="D8" s="778"/>
      <c r="E8" s="249">
        <v>2019</v>
      </c>
      <c r="K8" s="257"/>
    </row>
    <row r="9" spans="1:12" ht="13.5" thickBot="1">
      <c r="A9" s="785"/>
      <c r="B9" s="250" t="s">
        <v>191</v>
      </c>
      <c r="C9" s="785"/>
      <c r="D9" s="779"/>
      <c r="E9" s="252"/>
      <c r="K9" s="129"/>
    </row>
    <row r="10" spans="1:12">
      <c r="A10" s="780" t="s">
        <v>637</v>
      </c>
      <c r="B10" s="254" t="s">
        <v>638</v>
      </c>
      <c r="C10" s="780"/>
      <c r="D10" s="256" t="s">
        <v>192</v>
      </c>
      <c r="E10" s="258"/>
    </row>
    <row r="11" spans="1:12">
      <c r="A11" s="781"/>
      <c r="B11" s="254"/>
      <c r="C11" s="781"/>
      <c r="D11" s="256" t="s">
        <v>57</v>
      </c>
      <c r="E11" s="259">
        <v>3900000</v>
      </c>
    </row>
    <row r="12" spans="1:12" ht="13.5" thickBot="1">
      <c r="A12" s="782"/>
      <c r="B12" s="255" t="s">
        <v>645</v>
      </c>
      <c r="C12" s="782"/>
      <c r="D12" s="252"/>
      <c r="E12" s="260"/>
    </row>
    <row r="13" spans="1:12">
      <c r="A13" s="780" t="s">
        <v>639</v>
      </c>
      <c r="B13" s="254" t="s">
        <v>640</v>
      </c>
      <c r="C13" s="780"/>
      <c r="D13" s="256" t="s">
        <v>192</v>
      </c>
      <c r="E13" s="258"/>
      <c r="K13" s="257"/>
    </row>
    <row r="14" spans="1:12">
      <c r="A14" s="781"/>
      <c r="B14" s="254"/>
      <c r="C14" s="781"/>
      <c r="D14" s="256" t="s">
        <v>57</v>
      </c>
      <c r="E14" s="259">
        <v>100000</v>
      </c>
    </row>
    <row r="15" spans="1:12" ht="13.5" thickBot="1">
      <c r="A15" s="782"/>
      <c r="B15" s="255" t="s">
        <v>641</v>
      </c>
      <c r="C15" s="782"/>
      <c r="D15" s="252"/>
      <c r="E15" s="261"/>
    </row>
    <row r="16" spans="1:12">
      <c r="A16" s="780" t="s">
        <v>639</v>
      </c>
      <c r="B16" s="254" t="s">
        <v>642</v>
      </c>
      <c r="C16" s="780"/>
      <c r="D16" s="256" t="s">
        <v>192</v>
      </c>
      <c r="E16" s="258"/>
    </row>
    <row r="17" spans="1:11">
      <c r="A17" s="781"/>
      <c r="B17" s="254"/>
      <c r="C17" s="781"/>
      <c r="D17" s="256" t="s">
        <v>57</v>
      </c>
      <c r="E17" s="259">
        <f>200000-68867.14</f>
        <v>131132.85999999999</v>
      </c>
      <c r="K17" s="257"/>
    </row>
    <row r="18" spans="1:11" ht="13.5" thickBot="1">
      <c r="A18" s="782"/>
      <c r="B18" s="255" t="s">
        <v>643</v>
      </c>
      <c r="C18" s="782"/>
      <c r="D18" s="252"/>
      <c r="E18" s="261"/>
    </row>
    <row r="19" spans="1:11" ht="13.5" customHeight="1" thickBot="1">
      <c r="A19" s="787" t="s">
        <v>644</v>
      </c>
      <c r="B19" s="788"/>
      <c r="C19" s="788"/>
      <c r="D19" s="789"/>
      <c r="E19" s="262">
        <f>E11+E14+E17</f>
        <v>4131132.86</v>
      </c>
    </row>
    <row r="20" spans="1:11">
      <c r="A20" s="166"/>
    </row>
    <row r="21" spans="1:11">
      <c r="A21" s="264" t="s">
        <v>194</v>
      </c>
      <c r="B21" s="264" t="s">
        <v>195</v>
      </c>
    </row>
    <row r="23" spans="1:11" ht="13.5" customHeight="1">
      <c r="A23" s="265"/>
    </row>
    <row r="24" spans="1:11">
      <c r="A24" s="786"/>
      <c r="B24" s="786"/>
      <c r="C24" s="786"/>
      <c r="D24" s="246"/>
      <c r="E24" s="786"/>
    </row>
    <row r="25" spans="1:11">
      <c r="A25" s="786"/>
      <c r="B25" s="786"/>
      <c r="C25" s="786"/>
      <c r="D25" s="246"/>
      <c r="E25" s="786"/>
    </row>
    <row r="26" spans="1:11">
      <c r="A26" s="786"/>
      <c r="B26" s="786"/>
      <c r="C26" s="786"/>
      <c r="D26" s="246"/>
      <c r="E26" s="786"/>
    </row>
    <row r="27" spans="1:11">
      <c r="A27" s="786"/>
      <c r="B27" s="786"/>
      <c r="C27" s="786"/>
      <c r="D27" s="246"/>
      <c r="E27" s="786"/>
    </row>
    <row r="28" spans="1:11">
      <c r="A28" s="786"/>
      <c r="B28" s="786"/>
      <c r="C28" s="786"/>
      <c r="D28" s="246"/>
      <c r="E28" s="786"/>
    </row>
    <row r="29" spans="1:11">
      <c r="A29" s="786"/>
      <c r="B29" s="786"/>
      <c r="C29" s="786"/>
      <c r="D29" s="246"/>
      <c r="E29" s="786"/>
    </row>
    <row r="30" spans="1:11" ht="12.75" customHeight="1">
      <c r="A30" s="786"/>
      <c r="B30" s="786"/>
      <c r="C30" s="786"/>
      <c r="D30" s="246"/>
      <c r="E30" s="786"/>
    </row>
    <row r="31" spans="1:11">
      <c r="A31" s="786"/>
      <c r="B31" s="786"/>
      <c r="C31" s="786"/>
      <c r="D31" s="246"/>
      <c r="E31" s="786"/>
    </row>
    <row r="32" spans="1:11">
      <c r="A32" s="786"/>
      <c r="B32" s="786"/>
      <c r="C32" s="786"/>
      <c r="D32" s="246"/>
      <c r="E32" s="786"/>
    </row>
    <row r="33" spans="1:9">
      <c r="A33" s="786"/>
      <c r="B33" s="786"/>
      <c r="C33" s="786"/>
      <c r="D33" s="246"/>
      <c r="E33" s="786"/>
    </row>
    <row r="34" spans="1:9">
      <c r="A34" s="790"/>
      <c r="B34" s="790"/>
      <c r="C34" s="790"/>
      <c r="D34" s="790"/>
      <c r="E34" s="245"/>
    </row>
    <row r="35" spans="1:9">
      <c r="A35" s="247"/>
      <c r="B35" s="247"/>
      <c r="C35" s="51"/>
      <c r="D35" s="51"/>
      <c r="E35" s="51"/>
    </row>
    <row r="38" spans="1:9">
      <c r="A38" s="553" t="s">
        <v>604</v>
      </c>
      <c r="B38" s="553"/>
      <c r="C38" s="553"/>
      <c r="D38" s="553"/>
      <c r="E38" s="553"/>
      <c r="F38" s="553"/>
      <c r="G38" s="553"/>
      <c r="H38" s="553"/>
      <c r="I38" s="553"/>
    </row>
    <row r="39" spans="1:9">
      <c r="A39" s="553"/>
      <c r="B39" s="553"/>
      <c r="C39" s="553"/>
      <c r="D39" s="553"/>
      <c r="E39" s="553"/>
      <c r="F39" s="553"/>
      <c r="G39" s="553"/>
      <c r="H39" s="553"/>
      <c r="I39" s="553"/>
    </row>
    <row r="40" spans="1:9">
      <c r="A40" s="553"/>
      <c r="B40" s="553"/>
      <c r="C40" s="553"/>
      <c r="D40" s="553"/>
      <c r="E40" s="553"/>
      <c r="F40" s="553"/>
      <c r="G40" s="553"/>
      <c r="H40" s="553"/>
      <c r="I40" s="553"/>
    </row>
    <row r="41" spans="1:9">
      <c r="A41" s="166" t="s">
        <v>646</v>
      </c>
    </row>
    <row r="42" spans="1:9">
      <c r="A42" s="166" t="s">
        <v>761</v>
      </c>
    </row>
    <row r="43" spans="1:9" ht="13.5" thickBot="1">
      <c r="A43" s="166" t="s">
        <v>762</v>
      </c>
    </row>
    <row r="44" spans="1:9">
      <c r="A44" s="783" t="s">
        <v>188</v>
      </c>
      <c r="B44" s="248" t="s">
        <v>189</v>
      </c>
      <c r="C44" s="783" t="s">
        <v>190</v>
      </c>
      <c r="D44" s="777"/>
      <c r="E44" s="248"/>
    </row>
    <row r="45" spans="1:9">
      <c r="A45" s="784"/>
      <c r="B45" s="249"/>
      <c r="C45" s="784"/>
      <c r="D45" s="778"/>
      <c r="E45" s="249">
        <v>2019</v>
      </c>
    </row>
    <row r="46" spans="1:9" ht="13.5" thickBot="1">
      <c r="A46" s="785"/>
      <c r="B46" s="250" t="s">
        <v>191</v>
      </c>
      <c r="C46" s="785"/>
      <c r="D46" s="779"/>
      <c r="E46" s="252"/>
    </row>
    <row r="47" spans="1:9">
      <c r="A47" s="780" t="s">
        <v>637</v>
      </c>
      <c r="B47" s="254" t="s">
        <v>647</v>
      </c>
      <c r="C47" s="780"/>
      <c r="D47" s="256" t="s">
        <v>192</v>
      </c>
      <c r="E47" s="258"/>
    </row>
    <row r="48" spans="1:9">
      <c r="A48" s="781"/>
      <c r="B48" s="254"/>
      <c r="C48" s="781"/>
      <c r="D48" s="256" t="s">
        <v>57</v>
      </c>
      <c r="E48" s="259">
        <v>7200000</v>
      </c>
    </row>
    <row r="49" spans="1:5" ht="13.5" thickBot="1">
      <c r="A49" s="782"/>
      <c r="B49" s="255" t="s">
        <v>648</v>
      </c>
      <c r="C49" s="782"/>
      <c r="D49" s="252"/>
      <c r="E49" s="261"/>
    </row>
    <row r="50" spans="1:5">
      <c r="A50" s="780" t="s">
        <v>639</v>
      </c>
      <c r="B50" s="254" t="s">
        <v>649</v>
      </c>
      <c r="C50" s="780"/>
      <c r="D50" s="256" t="s">
        <v>192</v>
      </c>
      <c r="E50" s="258"/>
    </row>
    <row r="51" spans="1:5">
      <c r="A51" s="781"/>
      <c r="B51" s="254"/>
      <c r="C51" s="781"/>
      <c r="D51" s="256" t="s">
        <v>57</v>
      </c>
      <c r="E51" s="259">
        <v>50000</v>
      </c>
    </row>
    <row r="52" spans="1:5" ht="13.5" thickBot="1">
      <c r="A52" s="782"/>
      <c r="B52" s="255" t="s">
        <v>650</v>
      </c>
      <c r="C52" s="782"/>
      <c r="D52" s="252"/>
      <c r="E52" s="261"/>
    </row>
    <row r="53" spans="1:5">
      <c r="A53" s="253"/>
      <c r="B53" s="254"/>
      <c r="C53" s="780"/>
      <c r="D53" s="256" t="s">
        <v>192</v>
      </c>
      <c r="E53" s="258"/>
    </row>
    <row r="54" spans="1:5" ht="13.5" thickBot="1">
      <c r="A54" s="263" t="s">
        <v>639</v>
      </c>
      <c r="B54" s="255" t="s">
        <v>651</v>
      </c>
      <c r="C54" s="782"/>
      <c r="D54" s="266" t="s">
        <v>57</v>
      </c>
      <c r="E54" s="267">
        <v>50000</v>
      </c>
    </row>
    <row r="55" spans="1:5" ht="13.5" thickBot="1">
      <c r="A55" s="787" t="s">
        <v>644</v>
      </c>
      <c r="B55" s="788"/>
      <c r="C55" s="788"/>
      <c r="D55" s="789"/>
      <c r="E55" s="262">
        <f>E48+E51+E54</f>
        <v>7300000</v>
      </c>
    </row>
    <row r="56" spans="1:5">
      <c r="A56" s="166"/>
    </row>
    <row r="57" spans="1:5">
      <c r="A57" s="264" t="s">
        <v>194</v>
      </c>
      <c r="B57" s="264" t="s">
        <v>195</v>
      </c>
    </row>
    <row r="59" spans="1:5">
      <c r="A59" s="265"/>
    </row>
    <row r="84" spans="1:8">
      <c r="A84" s="553" t="s">
        <v>604</v>
      </c>
      <c r="B84" s="553"/>
      <c r="C84" s="553"/>
      <c r="D84" s="553"/>
      <c r="E84" s="553"/>
    </row>
    <row r="85" spans="1:8">
      <c r="A85" s="553" t="s">
        <v>187</v>
      </c>
      <c r="B85" s="553"/>
      <c r="C85" s="553"/>
      <c r="D85" s="553"/>
      <c r="E85" s="553"/>
      <c r="F85" s="553"/>
      <c r="G85" s="553"/>
      <c r="H85" s="553"/>
    </row>
    <row r="86" spans="1:8">
      <c r="A86" s="166"/>
    </row>
    <row r="87" spans="1:8">
      <c r="A87" s="166" t="s">
        <v>652</v>
      </c>
    </row>
    <row r="88" spans="1:8">
      <c r="A88" s="166" t="s">
        <v>763</v>
      </c>
    </row>
    <row r="89" spans="1:8" ht="13.5" thickBot="1">
      <c r="A89" s="166" t="s">
        <v>764</v>
      </c>
    </row>
    <row r="90" spans="1:8">
      <c r="A90" s="783" t="s">
        <v>188</v>
      </c>
      <c r="B90" s="248" t="s">
        <v>189</v>
      </c>
      <c r="C90" s="783" t="s">
        <v>190</v>
      </c>
      <c r="D90" s="777"/>
      <c r="E90" s="248"/>
    </row>
    <row r="91" spans="1:8">
      <c r="A91" s="784"/>
      <c r="B91" s="249"/>
      <c r="C91" s="784"/>
      <c r="D91" s="778"/>
      <c r="E91" s="249">
        <v>2019</v>
      </c>
    </row>
    <row r="92" spans="1:8" ht="13.5" thickBot="1">
      <c r="A92" s="785"/>
      <c r="B92" s="250" t="s">
        <v>191</v>
      </c>
      <c r="C92" s="785"/>
      <c r="D92" s="779"/>
      <c r="E92" s="252"/>
    </row>
    <row r="93" spans="1:8">
      <c r="A93" s="780" t="s">
        <v>637</v>
      </c>
      <c r="B93" s="254" t="s">
        <v>653</v>
      </c>
      <c r="C93" s="780"/>
      <c r="D93" s="256" t="s">
        <v>192</v>
      </c>
      <c r="E93" s="259"/>
    </row>
    <row r="94" spans="1:8">
      <c r="A94" s="781"/>
      <c r="B94" s="254"/>
      <c r="C94" s="781"/>
      <c r="D94" s="256" t="s">
        <v>57</v>
      </c>
      <c r="E94" s="259">
        <v>10035609.1</v>
      </c>
    </row>
    <row r="95" spans="1:8" ht="13.5" thickBot="1">
      <c r="A95" s="782"/>
      <c r="B95" s="255" t="s">
        <v>648</v>
      </c>
      <c r="C95" s="782"/>
      <c r="D95" s="252"/>
      <c r="E95" s="261"/>
    </row>
    <row r="96" spans="1:8">
      <c r="A96" s="780" t="s">
        <v>654</v>
      </c>
      <c r="B96" s="791" t="s">
        <v>655</v>
      </c>
      <c r="C96" s="780"/>
      <c r="D96" s="256" t="s">
        <v>192</v>
      </c>
      <c r="E96" s="258"/>
    </row>
    <row r="97" spans="1:5" ht="13.5" thickBot="1">
      <c r="A97" s="782"/>
      <c r="B97" s="792"/>
      <c r="C97" s="782"/>
      <c r="D97" s="266" t="s">
        <v>57</v>
      </c>
      <c r="E97" s="267">
        <f>16964500-10035609.1</f>
        <v>6928890.9000000004</v>
      </c>
    </row>
    <row r="98" spans="1:5" ht="13.5" thickBot="1">
      <c r="A98" s="787" t="s">
        <v>644</v>
      </c>
      <c r="B98" s="788"/>
      <c r="C98" s="788"/>
      <c r="D98" s="789"/>
      <c r="E98" s="262">
        <f>E94+E97</f>
        <v>16964500</v>
      </c>
    </row>
    <row r="99" spans="1:5">
      <c r="A99" s="264"/>
    </row>
    <row r="100" spans="1:5">
      <c r="A100" s="264" t="s">
        <v>194</v>
      </c>
      <c r="B100" s="264" t="s">
        <v>195</v>
      </c>
    </row>
    <row r="127" spans="1:5">
      <c r="A127" s="553" t="s">
        <v>604</v>
      </c>
      <c r="B127" s="553"/>
      <c r="C127" s="553"/>
      <c r="D127" s="553"/>
      <c r="E127" s="553"/>
    </row>
    <row r="128" spans="1:5">
      <c r="A128" s="553" t="s">
        <v>187</v>
      </c>
      <c r="B128" s="553"/>
      <c r="C128" s="553"/>
      <c r="D128" s="553"/>
      <c r="E128" s="553"/>
    </row>
    <row r="129" spans="1:5">
      <c r="A129" s="166"/>
    </row>
    <row r="130" spans="1:5">
      <c r="A130" s="166" t="s">
        <v>656</v>
      </c>
    </row>
    <row r="131" spans="1:5">
      <c r="A131" s="166" t="s">
        <v>765</v>
      </c>
    </row>
    <row r="132" spans="1:5" ht="13.5" thickBot="1">
      <c r="A132" s="166" t="s">
        <v>766</v>
      </c>
    </row>
    <row r="133" spans="1:5">
      <c r="A133" s="783" t="s">
        <v>188</v>
      </c>
      <c r="B133" s="248" t="s">
        <v>189</v>
      </c>
      <c r="C133" s="783" t="s">
        <v>190</v>
      </c>
      <c r="D133" s="777"/>
      <c r="E133" s="248"/>
    </row>
    <row r="134" spans="1:5">
      <c r="A134" s="784"/>
      <c r="B134" s="249"/>
      <c r="C134" s="784"/>
      <c r="D134" s="778"/>
      <c r="E134" s="249">
        <v>2019</v>
      </c>
    </row>
    <row r="135" spans="1:5" ht="13.5" thickBot="1">
      <c r="A135" s="785"/>
      <c r="B135" s="250" t="s">
        <v>191</v>
      </c>
      <c r="C135" s="785"/>
      <c r="D135" s="779"/>
      <c r="E135" s="252"/>
    </row>
    <row r="136" spans="1:5">
      <c r="A136" s="780" t="s">
        <v>637</v>
      </c>
      <c r="B136" s="254" t="s">
        <v>657</v>
      </c>
      <c r="C136" s="780"/>
      <c r="D136" s="256" t="s">
        <v>192</v>
      </c>
      <c r="E136" s="258"/>
    </row>
    <row r="137" spans="1:5">
      <c r="A137" s="781"/>
      <c r="B137" s="254"/>
      <c r="C137" s="781"/>
      <c r="D137" s="256" t="s">
        <v>57</v>
      </c>
      <c r="E137" s="259">
        <v>1750000</v>
      </c>
    </row>
    <row r="138" spans="1:5" ht="13.5" thickBot="1">
      <c r="A138" s="782"/>
      <c r="B138" s="255" t="s">
        <v>648</v>
      </c>
      <c r="C138" s="782"/>
      <c r="D138" s="252"/>
      <c r="E138" s="261"/>
    </row>
    <row r="139" spans="1:5">
      <c r="A139" s="780" t="s">
        <v>637</v>
      </c>
      <c r="B139" s="791" t="s">
        <v>658</v>
      </c>
      <c r="C139" s="780"/>
      <c r="D139" s="256" t="s">
        <v>192</v>
      </c>
      <c r="E139" s="258"/>
    </row>
    <row r="140" spans="1:5" ht="13.5" thickBot="1">
      <c r="A140" s="782"/>
      <c r="B140" s="792"/>
      <c r="C140" s="782"/>
      <c r="D140" s="266" t="s">
        <v>57</v>
      </c>
      <c r="E140" s="267">
        <v>270000</v>
      </c>
    </row>
    <row r="141" spans="1:5">
      <c r="A141" s="780" t="s">
        <v>639</v>
      </c>
      <c r="B141" s="791" t="s">
        <v>659</v>
      </c>
      <c r="C141" s="780"/>
      <c r="D141" s="256" t="s">
        <v>192</v>
      </c>
      <c r="E141" s="258"/>
    </row>
    <row r="142" spans="1:5" ht="13.5" thickBot="1">
      <c r="A142" s="782"/>
      <c r="B142" s="792"/>
      <c r="C142" s="782"/>
      <c r="D142" s="266" t="s">
        <v>57</v>
      </c>
      <c r="E142" s="267">
        <v>5000</v>
      </c>
    </row>
    <row r="143" spans="1:5">
      <c r="A143" s="780" t="s">
        <v>654</v>
      </c>
      <c r="B143" s="791" t="s">
        <v>660</v>
      </c>
      <c r="C143" s="780"/>
      <c r="D143" s="256" t="s">
        <v>192</v>
      </c>
      <c r="E143" s="258"/>
    </row>
    <row r="144" spans="1:5" ht="13.5" thickBot="1">
      <c r="A144" s="782"/>
      <c r="B144" s="792"/>
      <c r="C144" s="782"/>
      <c r="D144" s="266" t="s">
        <v>57</v>
      </c>
      <c r="E144" s="267">
        <v>2615650</v>
      </c>
    </row>
    <row r="145" spans="1:5">
      <c r="A145" s="780" t="s">
        <v>654</v>
      </c>
      <c r="B145" s="791" t="s">
        <v>661</v>
      </c>
      <c r="C145" s="780"/>
      <c r="D145" s="256" t="s">
        <v>192</v>
      </c>
      <c r="E145" s="258"/>
    </row>
    <row r="146" spans="1:5" ht="13.5" thickBot="1">
      <c r="A146" s="782"/>
      <c r="B146" s="792"/>
      <c r="C146" s="782"/>
      <c r="D146" s="266" t="s">
        <v>57</v>
      </c>
      <c r="E146" s="267">
        <v>1000000</v>
      </c>
    </row>
    <row r="147" spans="1:5" ht="13.5" thickBot="1">
      <c r="A147" s="787" t="s">
        <v>644</v>
      </c>
      <c r="B147" s="788"/>
      <c r="C147" s="788"/>
      <c r="D147" s="789"/>
      <c r="E147" s="262">
        <f>E137+E140+E142+E144+E146</f>
        <v>5640650</v>
      </c>
    </row>
    <row r="148" spans="1:5">
      <c r="A148" s="264"/>
    </row>
    <row r="149" spans="1:5">
      <c r="A149" s="264" t="s">
        <v>194</v>
      </c>
      <c r="B149" s="264" t="s">
        <v>662</v>
      </c>
    </row>
    <row r="169" spans="1:5">
      <c r="A169" s="553" t="s">
        <v>604</v>
      </c>
      <c r="B169" s="553"/>
      <c r="C169" s="553"/>
      <c r="D169" s="553"/>
      <c r="E169" s="553"/>
    </row>
    <row r="170" spans="1:5">
      <c r="A170" s="553" t="s">
        <v>187</v>
      </c>
      <c r="B170" s="553"/>
      <c r="C170" s="553"/>
      <c r="D170" s="553"/>
      <c r="E170" s="553"/>
    </row>
    <row r="171" spans="1:5" ht="8.25" customHeight="1">
      <c r="A171" s="166"/>
    </row>
    <row r="172" spans="1:5">
      <c r="A172" s="166" t="s">
        <v>663</v>
      </c>
    </row>
    <row r="173" spans="1:5">
      <c r="A173" s="166" t="s">
        <v>767</v>
      </c>
    </row>
    <row r="174" spans="1:5">
      <c r="A174" s="280" t="s">
        <v>768</v>
      </c>
    </row>
    <row r="175" spans="1:5">
      <c r="A175" s="280" t="s">
        <v>769</v>
      </c>
    </row>
    <row r="176" spans="1:5">
      <c r="A176" s="280" t="s">
        <v>770</v>
      </c>
    </row>
    <row r="177" spans="1:5" ht="3.75" customHeight="1" thickBot="1">
      <c r="A177" s="280"/>
    </row>
    <row r="178" spans="1:5">
      <c r="A178" s="783" t="s">
        <v>188</v>
      </c>
      <c r="B178" s="248" t="s">
        <v>189</v>
      </c>
      <c r="C178" s="783" t="s">
        <v>190</v>
      </c>
      <c r="D178" s="777"/>
      <c r="E178" s="248"/>
    </row>
    <row r="179" spans="1:5">
      <c r="A179" s="784"/>
      <c r="B179" s="249"/>
      <c r="C179" s="784"/>
      <c r="D179" s="778"/>
      <c r="E179" s="249">
        <v>2019</v>
      </c>
    </row>
    <row r="180" spans="1:5" ht="13.5" thickBot="1">
      <c r="A180" s="785"/>
      <c r="B180" s="250" t="s">
        <v>191</v>
      </c>
      <c r="C180" s="785"/>
      <c r="D180" s="779"/>
      <c r="E180" s="252"/>
    </row>
    <row r="181" spans="1:5">
      <c r="A181" s="780" t="s">
        <v>637</v>
      </c>
      <c r="B181" s="254" t="s">
        <v>664</v>
      </c>
      <c r="C181" s="780"/>
      <c r="D181" s="256" t="s">
        <v>192</v>
      </c>
      <c r="E181" s="258"/>
    </row>
    <row r="182" spans="1:5">
      <c r="A182" s="781"/>
      <c r="B182" s="254"/>
      <c r="C182" s="781"/>
      <c r="D182" s="256" t="s">
        <v>57</v>
      </c>
      <c r="E182" s="259">
        <v>5200000</v>
      </c>
    </row>
    <row r="183" spans="1:5" ht="13.5" thickBot="1">
      <c r="A183" s="782"/>
      <c r="B183" s="255" t="s">
        <v>665</v>
      </c>
      <c r="C183" s="782"/>
      <c r="D183" s="252"/>
      <c r="E183" s="261"/>
    </row>
    <row r="184" spans="1:5" ht="25.5">
      <c r="A184" s="780" t="s">
        <v>639</v>
      </c>
      <c r="B184" s="254" t="s">
        <v>666</v>
      </c>
      <c r="C184" s="780"/>
      <c r="D184" s="256" t="s">
        <v>192</v>
      </c>
      <c r="E184" s="258"/>
    </row>
    <row r="185" spans="1:5" ht="13.5" thickBot="1">
      <c r="A185" s="782"/>
      <c r="B185" s="255" t="s">
        <v>667</v>
      </c>
      <c r="C185" s="782"/>
      <c r="D185" s="266" t="s">
        <v>57</v>
      </c>
      <c r="E185" s="267">
        <v>4003136</v>
      </c>
    </row>
    <row r="186" spans="1:5">
      <c r="A186" s="780" t="s">
        <v>639</v>
      </c>
      <c r="B186" s="254" t="s">
        <v>668</v>
      </c>
      <c r="C186" s="780"/>
      <c r="D186" s="256" t="s">
        <v>192</v>
      </c>
      <c r="E186" s="258"/>
    </row>
    <row r="187" spans="1:5">
      <c r="A187" s="781"/>
      <c r="B187" s="254"/>
      <c r="C187" s="781"/>
      <c r="D187" s="256" t="s">
        <v>57</v>
      </c>
      <c r="E187" s="259">
        <v>1500000</v>
      </c>
    </row>
    <row r="188" spans="1:5" ht="13.5" thickBot="1">
      <c r="A188" s="782"/>
      <c r="B188" s="255" t="s">
        <v>669</v>
      </c>
      <c r="C188" s="782"/>
      <c r="D188" s="252"/>
      <c r="E188" s="261"/>
    </row>
    <row r="189" spans="1:5" ht="25.5">
      <c r="A189" s="780" t="s">
        <v>639</v>
      </c>
      <c r="B189" s="254" t="s">
        <v>670</v>
      </c>
      <c r="C189" s="780"/>
      <c r="D189" s="256" t="s">
        <v>192</v>
      </c>
      <c r="E189" s="258"/>
    </row>
    <row r="190" spans="1:5">
      <c r="A190" s="781"/>
      <c r="B190" s="254"/>
      <c r="C190" s="781"/>
      <c r="D190" s="256" t="s">
        <v>57</v>
      </c>
      <c r="E190" s="259">
        <v>1200000</v>
      </c>
    </row>
    <row r="191" spans="1:5" ht="13.5" thickBot="1">
      <c r="A191" s="782"/>
      <c r="B191" s="255" t="s">
        <v>671</v>
      </c>
      <c r="C191" s="782"/>
      <c r="D191" s="252"/>
      <c r="E191" s="261"/>
    </row>
    <row r="192" spans="1:5" ht="25.5">
      <c r="A192" s="780" t="s">
        <v>637</v>
      </c>
      <c r="B192" s="254" t="s">
        <v>672</v>
      </c>
      <c r="C192" s="780"/>
      <c r="D192" s="256" t="s">
        <v>192</v>
      </c>
      <c r="E192" s="258"/>
    </row>
    <row r="193" spans="1:5" ht="13.5" thickBot="1">
      <c r="A193" s="782"/>
      <c r="B193" s="255" t="s">
        <v>673</v>
      </c>
      <c r="C193" s="782"/>
      <c r="D193" s="266" t="s">
        <v>57</v>
      </c>
      <c r="E193" s="267">
        <v>5000000</v>
      </c>
    </row>
    <row r="194" spans="1:5" ht="38.25">
      <c r="A194" s="780" t="s">
        <v>639</v>
      </c>
      <c r="B194" s="254" t="s">
        <v>674</v>
      </c>
      <c r="C194" s="780"/>
      <c r="D194" s="256" t="s">
        <v>192</v>
      </c>
      <c r="E194" s="258"/>
    </row>
    <row r="195" spans="1:5" ht="13.5" thickBot="1">
      <c r="A195" s="782"/>
      <c r="B195" s="255" t="s">
        <v>669</v>
      </c>
      <c r="C195" s="782"/>
      <c r="D195" s="266" t="s">
        <v>57</v>
      </c>
      <c r="E195" s="267">
        <v>1000000</v>
      </c>
    </row>
    <row r="196" spans="1:5" ht="25.5">
      <c r="A196" s="780" t="s">
        <v>637</v>
      </c>
      <c r="B196" s="254" t="s">
        <v>675</v>
      </c>
      <c r="C196" s="780"/>
      <c r="D196" s="256" t="s">
        <v>192</v>
      </c>
      <c r="E196" s="258"/>
    </row>
    <row r="197" spans="1:5" ht="13.5" thickBot="1">
      <c r="A197" s="782"/>
      <c r="B197" s="255" t="s">
        <v>673</v>
      </c>
      <c r="C197" s="782"/>
      <c r="D197" s="266" t="s">
        <v>57</v>
      </c>
      <c r="E197" s="267">
        <v>535000</v>
      </c>
    </row>
    <row r="198" spans="1:5">
      <c r="A198" s="780" t="s">
        <v>639</v>
      </c>
      <c r="B198" s="254" t="s">
        <v>676</v>
      </c>
      <c r="C198" s="780"/>
      <c r="D198" s="256" t="s">
        <v>192</v>
      </c>
      <c r="E198" s="793">
        <v>1200000</v>
      </c>
    </row>
    <row r="199" spans="1:5" ht="13.5" thickBot="1">
      <c r="A199" s="782"/>
      <c r="B199" s="255" t="s">
        <v>677</v>
      </c>
      <c r="C199" s="782"/>
      <c r="D199" s="266" t="s">
        <v>57</v>
      </c>
      <c r="E199" s="794"/>
    </row>
    <row r="200" spans="1:5" ht="25.5">
      <c r="A200" s="780" t="s">
        <v>639</v>
      </c>
      <c r="B200" s="254" t="s">
        <v>678</v>
      </c>
      <c r="C200" s="780"/>
      <c r="D200" s="256" t="s">
        <v>192</v>
      </c>
      <c r="E200" s="258"/>
    </row>
    <row r="201" spans="1:5">
      <c r="A201" s="781"/>
      <c r="B201" s="254" t="s">
        <v>679</v>
      </c>
      <c r="C201" s="781"/>
      <c r="D201" s="256"/>
      <c r="E201" s="258"/>
    </row>
    <row r="202" spans="1:5" ht="16.5" customHeight="1">
      <c r="A202" s="781"/>
      <c r="B202" s="254"/>
      <c r="C202" s="781"/>
      <c r="D202" s="256" t="s">
        <v>57</v>
      </c>
      <c r="E202" s="259">
        <v>200000</v>
      </c>
    </row>
    <row r="203" spans="1:5" ht="34.5" customHeight="1">
      <c r="A203" s="533"/>
      <c r="B203" s="534"/>
      <c r="C203" s="219"/>
      <c r="D203" s="538"/>
      <c r="E203" s="451"/>
    </row>
    <row r="204" spans="1:5" ht="33" customHeight="1">
      <c r="A204" s="533"/>
      <c r="B204" s="534"/>
      <c r="C204" s="219"/>
      <c r="D204" s="538"/>
      <c r="E204" s="451"/>
    </row>
    <row r="205" spans="1:5" ht="38.25">
      <c r="A205" s="803" t="s">
        <v>639</v>
      </c>
      <c r="B205" s="535" t="s">
        <v>680</v>
      </c>
      <c r="C205" s="803"/>
      <c r="D205" s="536" t="s">
        <v>192</v>
      </c>
      <c r="E205" s="537"/>
    </row>
    <row r="206" spans="1:5" ht="13.5" thickBot="1">
      <c r="A206" s="782"/>
      <c r="B206" s="255" t="s">
        <v>681</v>
      </c>
      <c r="C206" s="782"/>
      <c r="D206" s="266" t="s">
        <v>57</v>
      </c>
      <c r="E206" s="267">
        <v>1000000</v>
      </c>
    </row>
    <row r="207" spans="1:5" ht="38.25">
      <c r="A207" s="780" t="s">
        <v>637</v>
      </c>
      <c r="B207" s="254" t="s">
        <v>682</v>
      </c>
      <c r="C207" s="780"/>
      <c r="D207" s="256" t="s">
        <v>192</v>
      </c>
      <c r="E207" s="258"/>
    </row>
    <row r="208" spans="1:5" ht="13.5" thickBot="1">
      <c r="A208" s="782"/>
      <c r="B208" s="255" t="s">
        <v>673</v>
      </c>
      <c r="C208" s="782"/>
      <c r="D208" s="266" t="s">
        <v>57</v>
      </c>
      <c r="E208" s="267">
        <v>1500000</v>
      </c>
    </row>
    <row r="209" spans="1:5" ht="25.5">
      <c r="A209" s="801" t="s">
        <v>639</v>
      </c>
      <c r="B209" s="254" t="s">
        <v>683</v>
      </c>
      <c r="C209" s="801"/>
      <c r="D209" s="268" t="s">
        <v>192</v>
      </c>
      <c r="E209" s="269"/>
    </row>
    <row r="210" spans="1:5" ht="13.5" thickBot="1">
      <c r="A210" s="802"/>
      <c r="B210" s="254" t="s">
        <v>684</v>
      </c>
      <c r="C210" s="802"/>
      <c r="D210" s="268" t="s">
        <v>57</v>
      </c>
      <c r="E210" s="267">
        <v>1000000</v>
      </c>
    </row>
    <row r="211" spans="1:5" ht="25.5">
      <c r="A211" s="801" t="s">
        <v>639</v>
      </c>
      <c r="B211" s="270" t="s">
        <v>685</v>
      </c>
      <c r="C211" s="801"/>
      <c r="D211" s="271" t="s">
        <v>192</v>
      </c>
      <c r="E211" s="269"/>
    </row>
    <row r="212" spans="1:5" ht="13.5" thickBot="1">
      <c r="A212" s="802"/>
      <c r="B212" s="254" t="s">
        <v>673</v>
      </c>
      <c r="C212" s="802"/>
      <c r="D212" s="268" t="s">
        <v>57</v>
      </c>
      <c r="E212" s="272">
        <v>50000</v>
      </c>
    </row>
    <row r="213" spans="1:5">
      <c r="A213" s="801" t="s">
        <v>637</v>
      </c>
      <c r="B213" s="270" t="s">
        <v>686</v>
      </c>
      <c r="C213" s="801"/>
      <c r="D213" s="271" t="s">
        <v>192</v>
      </c>
      <c r="E213" s="269"/>
    </row>
    <row r="214" spans="1:5" ht="13.5" thickBot="1">
      <c r="A214" s="802"/>
      <c r="B214" s="254" t="s">
        <v>665</v>
      </c>
      <c r="C214" s="802"/>
      <c r="D214" s="268" t="s">
        <v>57</v>
      </c>
      <c r="E214" s="267">
        <v>1100000</v>
      </c>
    </row>
    <row r="215" spans="1:5" ht="25.5">
      <c r="A215" s="801" t="s">
        <v>639</v>
      </c>
      <c r="B215" s="270" t="s">
        <v>687</v>
      </c>
      <c r="C215" s="801"/>
      <c r="D215" s="271" t="s">
        <v>192</v>
      </c>
      <c r="E215" s="269"/>
    </row>
    <row r="216" spans="1:5" ht="13.5" thickBot="1">
      <c r="A216" s="802"/>
      <c r="B216" s="254" t="s">
        <v>671</v>
      </c>
      <c r="C216" s="802"/>
      <c r="D216" s="268" t="s">
        <v>57</v>
      </c>
      <c r="E216" s="267">
        <v>400000</v>
      </c>
    </row>
    <row r="217" spans="1:5" ht="25.5">
      <c r="A217" s="801" t="s">
        <v>639</v>
      </c>
      <c r="B217" s="270" t="s">
        <v>688</v>
      </c>
      <c r="C217" s="801"/>
      <c r="D217" s="271" t="s">
        <v>192</v>
      </c>
      <c r="E217" s="269"/>
    </row>
    <row r="218" spans="1:5" ht="13.5" thickBot="1">
      <c r="A218" s="802"/>
      <c r="B218" s="254" t="s">
        <v>673</v>
      </c>
      <c r="C218" s="802"/>
      <c r="D218" s="268" t="s">
        <v>57</v>
      </c>
      <c r="E218" s="267">
        <v>500000</v>
      </c>
    </row>
    <row r="219" spans="1:5">
      <c r="A219" s="801" t="s">
        <v>637</v>
      </c>
      <c r="B219" s="270" t="s">
        <v>689</v>
      </c>
      <c r="C219" s="801"/>
      <c r="D219" s="271" t="s">
        <v>192</v>
      </c>
      <c r="E219" s="269"/>
    </row>
    <row r="220" spans="1:5" ht="13.5" thickBot="1">
      <c r="A220" s="802"/>
      <c r="B220" s="254" t="s">
        <v>648</v>
      </c>
      <c r="C220" s="802"/>
      <c r="D220" s="268" t="s">
        <v>57</v>
      </c>
      <c r="E220" s="267">
        <v>2600000</v>
      </c>
    </row>
    <row r="221" spans="1:5">
      <c r="A221" s="801" t="s">
        <v>637</v>
      </c>
      <c r="B221" s="270" t="s">
        <v>690</v>
      </c>
      <c r="C221" s="801"/>
      <c r="D221" s="271" t="s">
        <v>192</v>
      </c>
      <c r="E221" s="269"/>
    </row>
    <row r="222" spans="1:5" ht="13.5" thickBot="1">
      <c r="A222" s="802"/>
      <c r="B222" s="254" t="s">
        <v>691</v>
      </c>
      <c r="C222" s="802"/>
      <c r="D222" s="268" t="s">
        <v>57</v>
      </c>
      <c r="E222" s="267">
        <v>110000</v>
      </c>
    </row>
    <row r="223" spans="1:5" ht="25.5">
      <c r="A223" s="801" t="s">
        <v>637</v>
      </c>
      <c r="B223" s="270" t="s">
        <v>692</v>
      </c>
      <c r="C223" s="801"/>
      <c r="D223" s="271" t="s">
        <v>192</v>
      </c>
      <c r="E223" s="796">
        <v>15000</v>
      </c>
    </row>
    <row r="224" spans="1:5" ht="13.5" thickBot="1">
      <c r="A224" s="802"/>
      <c r="B224" s="254" t="s">
        <v>673</v>
      </c>
      <c r="C224" s="802"/>
      <c r="D224" s="273" t="s">
        <v>57</v>
      </c>
      <c r="E224" s="797"/>
    </row>
    <row r="225" spans="1:5" ht="13.5" thickBot="1">
      <c r="A225" s="798" t="s">
        <v>193</v>
      </c>
      <c r="B225" s="799"/>
      <c r="C225" s="799"/>
      <c r="D225" s="800"/>
      <c r="E225" s="262">
        <f>E182+E185+E187+E190+E193+E195+E197+E198+E202+E206+E208+E210+E212+E214+E216+E218+E220+E222+E223</f>
        <v>28113136</v>
      </c>
    </row>
    <row r="226" spans="1:5">
      <c r="A226" s="264"/>
    </row>
    <row r="227" spans="1:5">
      <c r="A227" s="264" t="s">
        <v>194</v>
      </c>
      <c r="B227" s="264" t="s">
        <v>195</v>
      </c>
    </row>
    <row r="237" spans="1:5" ht="33.75" customHeight="1"/>
    <row r="240" spans="1:5">
      <c r="A240" s="553" t="s">
        <v>604</v>
      </c>
      <c r="B240" s="553"/>
      <c r="C240" s="553"/>
      <c r="D240" s="553"/>
      <c r="E240" s="553"/>
    </row>
    <row r="241" spans="1:5">
      <c r="A241" s="553" t="s">
        <v>187</v>
      </c>
      <c r="B241" s="553"/>
      <c r="C241" s="553"/>
      <c r="D241" s="553"/>
      <c r="E241" s="553"/>
    </row>
    <row r="242" spans="1:5">
      <c r="A242" s="166"/>
    </row>
    <row r="243" spans="1:5">
      <c r="A243" s="166" t="s">
        <v>693</v>
      </c>
    </row>
    <row r="244" spans="1:5">
      <c r="A244" s="166" t="s">
        <v>771</v>
      </c>
    </row>
    <row r="245" spans="1:5">
      <c r="A245" s="280" t="s">
        <v>772</v>
      </c>
    </row>
    <row r="246" spans="1:5" ht="13.5" thickBot="1">
      <c r="A246" s="280" t="s">
        <v>773</v>
      </c>
    </row>
    <row r="247" spans="1:5">
      <c r="A247" s="783" t="s">
        <v>188</v>
      </c>
      <c r="B247" s="274" t="s">
        <v>189</v>
      </c>
      <c r="C247" s="783" t="s">
        <v>190</v>
      </c>
      <c r="D247" s="777"/>
      <c r="E247" s="248"/>
    </row>
    <row r="248" spans="1:5">
      <c r="A248" s="784"/>
      <c r="B248" s="275"/>
      <c r="C248" s="784"/>
      <c r="D248" s="778"/>
      <c r="E248" s="249">
        <v>2019</v>
      </c>
    </row>
    <row r="249" spans="1:5" ht="13.5" thickBot="1">
      <c r="A249" s="785"/>
      <c r="B249" s="276" t="s">
        <v>191</v>
      </c>
      <c r="C249" s="785"/>
      <c r="D249" s="779"/>
      <c r="E249" s="252"/>
    </row>
    <row r="250" spans="1:5">
      <c r="A250" s="780" t="s">
        <v>637</v>
      </c>
      <c r="B250" s="254" t="s">
        <v>694</v>
      </c>
      <c r="C250" s="780"/>
      <c r="D250" s="256" t="s">
        <v>192</v>
      </c>
      <c r="E250" s="258"/>
    </row>
    <row r="251" spans="1:5">
      <c r="A251" s="781"/>
      <c r="B251" s="254"/>
      <c r="C251" s="781"/>
      <c r="D251" s="256" t="s">
        <v>57</v>
      </c>
      <c r="E251" s="259">
        <v>6332786</v>
      </c>
    </row>
    <row r="252" spans="1:5" ht="13.5" thickBot="1">
      <c r="A252" s="782"/>
      <c r="B252" s="255" t="s">
        <v>648</v>
      </c>
      <c r="C252" s="782"/>
      <c r="D252" s="252"/>
      <c r="E252" s="261"/>
    </row>
    <row r="253" spans="1:5">
      <c r="A253" s="780" t="s">
        <v>639</v>
      </c>
      <c r="B253" s="254" t="s">
        <v>649</v>
      </c>
      <c r="C253" s="780"/>
      <c r="D253" s="256" t="s">
        <v>192</v>
      </c>
      <c r="E253" s="793">
        <v>30000</v>
      </c>
    </row>
    <row r="254" spans="1:5">
      <c r="A254" s="781"/>
      <c r="B254" s="254"/>
      <c r="C254" s="781"/>
      <c r="D254" s="256" t="s">
        <v>57</v>
      </c>
      <c r="E254" s="795"/>
    </row>
    <row r="255" spans="1:5" ht="13.5" thickBot="1">
      <c r="A255" s="782"/>
      <c r="B255" s="255" t="s">
        <v>695</v>
      </c>
      <c r="C255" s="782"/>
      <c r="D255" s="252"/>
      <c r="E255" s="794"/>
    </row>
    <row r="256" spans="1:5">
      <c r="A256" s="780" t="s">
        <v>639</v>
      </c>
      <c r="B256" s="254" t="s">
        <v>696</v>
      </c>
      <c r="C256" s="780"/>
      <c r="D256" s="256" t="s">
        <v>192</v>
      </c>
      <c r="E256" s="258"/>
    </row>
    <row r="257" spans="1:5">
      <c r="A257" s="781"/>
      <c r="B257" s="254"/>
      <c r="C257" s="781"/>
      <c r="D257" s="256" t="s">
        <v>57</v>
      </c>
      <c r="E257" s="259">
        <v>90000</v>
      </c>
    </row>
    <row r="258" spans="1:5" ht="13.5" thickBot="1">
      <c r="A258" s="782"/>
      <c r="B258" s="255" t="s">
        <v>697</v>
      </c>
      <c r="C258" s="782"/>
      <c r="D258" s="252"/>
      <c r="E258" s="261"/>
    </row>
    <row r="259" spans="1:5">
      <c r="A259" s="780" t="s">
        <v>639</v>
      </c>
      <c r="B259" s="254" t="s">
        <v>698</v>
      </c>
      <c r="C259" s="780"/>
      <c r="D259" s="256" t="s">
        <v>192</v>
      </c>
      <c r="E259" s="793">
        <v>1060000</v>
      </c>
    </row>
    <row r="260" spans="1:5" ht="13.5" thickBot="1">
      <c r="A260" s="782"/>
      <c r="B260" s="255" t="s">
        <v>699</v>
      </c>
      <c r="C260" s="782"/>
      <c r="D260" s="266" t="s">
        <v>57</v>
      </c>
      <c r="E260" s="794"/>
    </row>
    <row r="261" spans="1:5">
      <c r="A261" s="780" t="s">
        <v>637</v>
      </c>
      <c r="B261" s="254" t="s">
        <v>700</v>
      </c>
      <c r="C261" s="780"/>
      <c r="D261" s="256" t="s">
        <v>192</v>
      </c>
      <c r="E261" s="793">
        <v>2087000</v>
      </c>
    </row>
    <row r="262" spans="1:5" ht="13.5" thickBot="1">
      <c r="A262" s="782"/>
      <c r="B262" s="255" t="s">
        <v>701</v>
      </c>
      <c r="C262" s="782"/>
      <c r="D262" s="266" t="s">
        <v>57</v>
      </c>
      <c r="E262" s="794"/>
    </row>
    <row r="263" spans="1:5">
      <c r="A263" s="780" t="s">
        <v>639</v>
      </c>
      <c r="B263" s="254" t="s">
        <v>702</v>
      </c>
      <c r="C263" s="780"/>
      <c r="D263" s="256" t="s">
        <v>192</v>
      </c>
      <c r="E263" s="793">
        <v>65000</v>
      </c>
    </row>
    <row r="264" spans="1:5" ht="13.5" thickBot="1">
      <c r="A264" s="782"/>
      <c r="B264" s="255" t="s">
        <v>703</v>
      </c>
      <c r="C264" s="782"/>
      <c r="D264" s="266" t="s">
        <v>57</v>
      </c>
      <c r="E264" s="794"/>
    </row>
    <row r="265" spans="1:5">
      <c r="A265" s="780" t="s">
        <v>637</v>
      </c>
      <c r="B265" s="254" t="s">
        <v>704</v>
      </c>
      <c r="C265" s="780"/>
      <c r="D265" s="256" t="s">
        <v>192</v>
      </c>
      <c r="E265" s="793">
        <v>2600000</v>
      </c>
    </row>
    <row r="266" spans="1:5" ht="13.5" thickBot="1">
      <c r="A266" s="782"/>
      <c r="B266" s="255" t="s">
        <v>701</v>
      </c>
      <c r="C266" s="782"/>
      <c r="D266" s="266" t="s">
        <v>57</v>
      </c>
      <c r="E266" s="794"/>
    </row>
    <row r="267" spans="1:5" ht="13.5" thickBot="1">
      <c r="A267" s="787" t="s">
        <v>644</v>
      </c>
      <c r="B267" s="788"/>
      <c r="C267" s="788"/>
      <c r="D267" s="789"/>
      <c r="E267" s="262">
        <f>E251+E253+E257+E259+E261+E263+E265</f>
        <v>12264786</v>
      </c>
    </row>
    <row r="268" spans="1:5">
      <c r="A268" s="264"/>
    </row>
    <row r="269" spans="1:5">
      <c r="A269" s="264" t="s">
        <v>194</v>
      </c>
      <c r="B269" s="264" t="s">
        <v>195</v>
      </c>
    </row>
    <row r="270" spans="1:5">
      <c r="A270" s="277"/>
    </row>
    <row r="277" spans="1:5" ht="45" customHeight="1"/>
    <row r="281" spans="1:5">
      <c r="A281" s="553" t="s">
        <v>604</v>
      </c>
      <c r="B281" s="553"/>
      <c r="C281" s="553"/>
      <c r="D281" s="553"/>
      <c r="E281" s="553"/>
    </row>
    <row r="282" spans="1:5">
      <c r="A282" s="553" t="s">
        <v>187</v>
      </c>
      <c r="B282" s="553"/>
      <c r="C282" s="553"/>
      <c r="D282" s="553"/>
      <c r="E282" s="553"/>
    </row>
    <row r="283" spans="1:5">
      <c r="A283" s="166"/>
    </row>
    <row r="284" spans="1:5">
      <c r="A284" s="166" t="s">
        <v>705</v>
      </c>
    </row>
    <row r="285" spans="1:5">
      <c r="A285" s="166" t="s">
        <v>774</v>
      </c>
    </row>
    <row r="286" spans="1:5" ht="13.5" thickBot="1">
      <c r="A286" s="166" t="s">
        <v>775</v>
      </c>
    </row>
    <row r="287" spans="1:5">
      <c r="A287" s="783" t="s">
        <v>188</v>
      </c>
      <c r="B287" s="248" t="s">
        <v>189</v>
      </c>
      <c r="C287" s="783" t="s">
        <v>190</v>
      </c>
      <c r="D287" s="777"/>
      <c r="E287" s="248"/>
    </row>
    <row r="288" spans="1:5">
      <c r="A288" s="784"/>
      <c r="B288" s="249"/>
      <c r="C288" s="784"/>
      <c r="D288" s="778"/>
      <c r="E288" s="249">
        <v>2019</v>
      </c>
    </row>
    <row r="289" spans="1:5" ht="13.5" thickBot="1">
      <c r="A289" s="785"/>
      <c r="B289" s="250" t="s">
        <v>191</v>
      </c>
      <c r="C289" s="785"/>
      <c r="D289" s="779"/>
      <c r="E289" s="252"/>
    </row>
    <row r="290" spans="1:5">
      <c r="A290" s="780" t="s">
        <v>637</v>
      </c>
      <c r="B290" s="254" t="s">
        <v>694</v>
      </c>
      <c r="C290" s="780"/>
      <c r="D290" s="256" t="s">
        <v>192</v>
      </c>
      <c r="E290" s="258"/>
    </row>
    <row r="291" spans="1:5">
      <c r="A291" s="781"/>
      <c r="B291" s="254"/>
      <c r="C291" s="781"/>
      <c r="D291" s="256" t="s">
        <v>57</v>
      </c>
      <c r="E291" s="259">
        <v>943283</v>
      </c>
    </row>
    <row r="292" spans="1:5" ht="13.5" thickBot="1">
      <c r="A292" s="782"/>
      <c r="B292" s="255" t="s">
        <v>648</v>
      </c>
      <c r="C292" s="782"/>
      <c r="D292" s="252"/>
      <c r="E292" s="261"/>
    </row>
    <row r="293" spans="1:5">
      <c r="A293" s="780" t="s">
        <v>637</v>
      </c>
      <c r="B293" s="254" t="s">
        <v>706</v>
      </c>
      <c r="C293" s="780"/>
      <c r="D293" s="256" t="s">
        <v>192</v>
      </c>
      <c r="E293" s="258"/>
    </row>
    <row r="294" spans="1:5" ht="13.5" thickBot="1">
      <c r="A294" s="782"/>
      <c r="B294" s="255" t="s">
        <v>707</v>
      </c>
      <c r="C294" s="782"/>
      <c r="D294" s="266" t="s">
        <v>57</v>
      </c>
      <c r="E294" s="267">
        <v>145000</v>
      </c>
    </row>
    <row r="295" spans="1:5">
      <c r="A295" s="780" t="s">
        <v>637</v>
      </c>
      <c r="B295" s="254" t="s">
        <v>708</v>
      </c>
      <c r="C295" s="780"/>
      <c r="D295" s="256" t="s">
        <v>192</v>
      </c>
      <c r="E295" s="258"/>
    </row>
    <row r="296" spans="1:5" ht="13.5" thickBot="1">
      <c r="A296" s="782"/>
      <c r="B296" s="255" t="s">
        <v>707</v>
      </c>
      <c r="C296" s="782"/>
      <c r="D296" s="266" t="s">
        <v>57</v>
      </c>
      <c r="E296" s="267">
        <v>33000</v>
      </c>
    </row>
    <row r="297" spans="1:5">
      <c r="A297" s="780" t="s">
        <v>639</v>
      </c>
      <c r="B297" s="254" t="s">
        <v>709</v>
      </c>
      <c r="C297" s="780"/>
      <c r="D297" s="256" t="s">
        <v>192</v>
      </c>
      <c r="E297" s="258"/>
    </row>
    <row r="298" spans="1:5" ht="13.5" thickBot="1">
      <c r="A298" s="782"/>
      <c r="B298" s="255" t="s">
        <v>710</v>
      </c>
      <c r="C298" s="782"/>
      <c r="D298" s="266" t="s">
        <v>57</v>
      </c>
      <c r="E298" s="267">
        <v>94000</v>
      </c>
    </row>
    <row r="299" spans="1:5">
      <c r="A299" s="780" t="s">
        <v>637</v>
      </c>
      <c r="B299" s="791" t="s">
        <v>711</v>
      </c>
      <c r="C299" s="780"/>
      <c r="D299" s="256" t="s">
        <v>192</v>
      </c>
      <c r="E299" s="258"/>
    </row>
    <row r="300" spans="1:5" ht="13.5" thickBot="1">
      <c r="A300" s="782"/>
      <c r="B300" s="792"/>
      <c r="C300" s="782"/>
      <c r="D300" s="266" t="s">
        <v>57</v>
      </c>
      <c r="E300" s="267">
        <v>437000</v>
      </c>
    </row>
    <row r="301" spans="1:5">
      <c r="A301" s="780" t="s">
        <v>637</v>
      </c>
      <c r="B301" s="254" t="s">
        <v>712</v>
      </c>
      <c r="C301" s="780"/>
      <c r="D301" s="256" t="s">
        <v>192</v>
      </c>
      <c r="E301" s="258"/>
    </row>
    <row r="302" spans="1:5" ht="13.5" thickBot="1">
      <c r="A302" s="782"/>
      <c r="B302" s="255" t="s">
        <v>713</v>
      </c>
      <c r="C302" s="782"/>
      <c r="D302" s="266" t="s">
        <v>57</v>
      </c>
      <c r="E302" s="267">
        <v>266000</v>
      </c>
    </row>
    <row r="303" spans="1:5" ht="13.5" thickBot="1">
      <c r="A303" s="787" t="s">
        <v>644</v>
      </c>
      <c r="B303" s="788"/>
      <c r="C303" s="788"/>
      <c r="D303" s="789"/>
      <c r="E303" s="262">
        <f>E291+E294+E296+E298+E300+E302</f>
        <v>1918283</v>
      </c>
    </row>
    <row r="304" spans="1:5">
      <c r="A304" s="52"/>
    </row>
    <row r="305" spans="1:2">
      <c r="A305" s="264" t="s">
        <v>194</v>
      </c>
      <c r="B305" s="264" t="s">
        <v>195</v>
      </c>
    </row>
    <row r="323" spans="1:5">
      <c r="A323" s="553" t="s">
        <v>604</v>
      </c>
      <c r="B323" s="553"/>
      <c r="C323" s="553"/>
      <c r="D323" s="553"/>
      <c r="E323" s="553"/>
    </row>
    <row r="324" spans="1:5">
      <c r="A324" s="553" t="s">
        <v>187</v>
      </c>
      <c r="B324" s="553"/>
      <c r="C324" s="553"/>
      <c r="D324" s="553"/>
      <c r="E324" s="553"/>
    </row>
    <row r="325" spans="1:5">
      <c r="A325" s="166"/>
    </row>
    <row r="326" spans="1:5">
      <c r="A326" s="166" t="s">
        <v>714</v>
      </c>
    </row>
    <row r="327" spans="1:5">
      <c r="A327" s="166" t="s">
        <v>776</v>
      </c>
    </row>
    <row r="328" spans="1:5">
      <c r="A328" s="280" t="s">
        <v>777</v>
      </c>
    </row>
    <row r="329" spans="1:5">
      <c r="A329" s="280" t="s">
        <v>778</v>
      </c>
    </row>
    <row r="330" spans="1:5">
      <c r="A330" s="280"/>
    </row>
    <row r="331" spans="1:5" ht="13.5" thickBot="1">
      <c r="A331" s="280"/>
    </row>
    <row r="332" spans="1:5">
      <c r="A332" s="783" t="s">
        <v>188</v>
      </c>
      <c r="B332" s="248" t="s">
        <v>189</v>
      </c>
      <c r="C332" s="783" t="s">
        <v>190</v>
      </c>
      <c r="D332" s="777"/>
      <c r="E332" s="248"/>
    </row>
    <row r="333" spans="1:5">
      <c r="A333" s="784"/>
      <c r="B333" s="249"/>
      <c r="C333" s="784"/>
      <c r="D333" s="778"/>
      <c r="E333" s="249">
        <v>2019</v>
      </c>
    </row>
    <row r="334" spans="1:5" ht="13.5" thickBot="1">
      <c r="A334" s="785"/>
      <c r="B334" s="250" t="s">
        <v>191</v>
      </c>
      <c r="C334" s="785"/>
      <c r="D334" s="779"/>
      <c r="E334" s="252"/>
    </row>
    <row r="335" spans="1:5">
      <c r="A335" s="780" t="s">
        <v>637</v>
      </c>
      <c r="B335" s="254" t="s">
        <v>715</v>
      </c>
      <c r="C335" s="780"/>
      <c r="D335" s="256" t="s">
        <v>192</v>
      </c>
      <c r="E335" s="258"/>
    </row>
    <row r="336" spans="1:5">
      <c r="A336" s="781"/>
      <c r="B336" s="254"/>
      <c r="C336" s="781"/>
      <c r="D336" s="256" t="s">
        <v>57</v>
      </c>
      <c r="E336" s="259">
        <v>8100000</v>
      </c>
    </row>
    <row r="337" spans="1:5" ht="13.5" thickBot="1">
      <c r="A337" s="782"/>
      <c r="B337" s="255" t="s">
        <v>648</v>
      </c>
      <c r="C337" s="782"/>
      <c r="D337" s="252"/>
      <c r="E337" s="261"/>
    </row>
    <row r="338" spans="1:5">
      <c r="A338" s="780" t="s">
        <v>639</v>
      </c>
      <c r="B338" s="791" t="s">
        <v>716</v>
      </c>
      <c r="C338" s="780"/>
      <c r="D338" s="256" t="s">
        <v>192</v>
      </c>
      <c r="E338" s="258"/>
    </row>
    <row r="339" spans="1:5" ht="13.5" thickBot="1">
      <c r="A339" s="782"/>
      <c r="B339" s="792"/>
      <c r="C339" s="782"/>
      <c r="D339" s="266" t="s">
        <v>57</v>
      </c>
      <c r="E339" s="267">
        <v>150000</v>
      </c>
    </row>
    <row r="340" spans="1:5">
      <c r="A340" s="780" t="s">
        <v>639</v>
      </c>
      <c r="B340" s="791" t="s">
        <v>717</v>
      </c>
      <c r="C340" s="780"/>
      <c r="D340" s="256" t="s">
        <v>192</v>
      </c>
      <c r="E340" s="258"/>
    </row>
    <row r="341" spans="1:5" ht="13.5" thickBot="1">
      <c r="A341" s="782"/>
      <c r="B341" s="792"/>
      <c r="C341" s="782"/>
      <c r="D341" s="266" t="s">
        <v>57</v>
      </c>
      <c r="E341" s="267">
        <v>150000</v>
      </c>
    </row>
    <row r="342" spans="1:5">
      <c r="A342" s="780" t="s">
        <v>639</v>
      </c>
      <c r="B342" s="791" t="s">
        <v>718</v>
      </c>
      <c r="C342" s="780"/>
      <c r="D342" s="256" t="s">
        <v>192</v>
      </c>
      <c r="E342" s="258"/>
    </row>
    <row r="343" spans="1:5" ht="13.5" thickBot="1">
      <c r="A343" s="782"/>
      <c r="B343" s="792"/>
      <c r="C343" s="782"/>
      <c r="D343" s="266" t="s">
        <v>57</v>
      </c>
      <c r="E343" s="267">
        <v>100000</v>
      </c>
    </row>
    <row r="344" spans="1:5">
      <c r="A344" s="780" t="s">
        <v>639</v>
      </c>
      <c r="B344" s="791" t="s">
        <v>719</v>
      </c>
      <c r="C344" s="780"/>
      <c r="D344" s="256" t="s">
        <v>192</v>
      </c>
      <c r="E344" s="258"/>
    </row>
    <row r="345" spans="1:5" ht="13.5" thickBot="1">
      <c r="A345" s="782"/>
      <c r="B345" s="792"/>
      <c r="C345" s="782"/>
      <c r="D345" s="266" t="s">
        <v>57</v>
      </c>
      <c r="E345" s="267">
        <v>200000</v>
      </c>
    </row>
    <row r="346" spans="1:5">
      <c r="A346" s="780" t="s">
        <v>639</v>
      </c>
      <c r="B346" s="791" t="s">
        <v>720</v>
      </c>
      <c r="C346" s="780"/>
      <c r="D346" s="256" t="s">
        <v>192</v>
      </c>
      <c r="E346" s="258"/>
    </row>
    <row r="347" spans="1:5" ht="13.5" thickBot="1">
      <c r="A347" s="782"/>
      <c r="B347" s="792"/>
      <c r="C347" s="782"/>
      <c r="D347" s="266" t="s">
        <v>57</v>
      </c>
      <c r="E347" s="267">
        <v>30000</v>
      </c>
    </row>
    <row r="348" spans="1:5">
      <c r="A348" s="780" t="s">
        <v>639</v>
      </c>
      <c r="B348" s="791" t="s">
        <v>721</v>
      </c>
      <c r="C348" s="780"/>
      <c r="D348" s="256" t="s">
        <v>192</v>
      </c>
      <c r="E348" s="258"/>
    </row>
    <row r="349" spans="1:5" ht="13.5" thickBot="1">
      <c r="A349" s="782"/>
      <c r="B349" s="792"/>
      <c r="C349" s="782"/>
      <c r="D349" s="256" t="s">
        <v>57</v>
      </c>
      <c r="E349" s="267">
        <v>100000</v>
      </c>
    </row>
    <row r="350" spans="1:5">
      <c r="A350" s="780" t="s">
        <v>637</v>
      </c>
      <c r="B350" s="791" t="s">
        <v>722</v>
      </c>
      <c r="C350" s="780"/>
      <c r="D350" s="251" t="s">
        <v>192</v>
      </c>
      <c r="E350" s="793">
        <v>60000</v>
      </c>
    </row>
    <row r="351" spans="1:5" ht="13.5" thickBot="1">
      <c r="A351" s="782"/>
      <c r="B351" s="792"/>
      <c r="C351" s="782"/>
      <c r="D351" s="256" t="s">
        <v>57</v>
      </c>
      <c r="E351" s="794"/>
    </row>
    <row r="352" spans="1:5" ht="13.5" thickBot="1">
      <c r="A352" s="787" t="s">
        <v>644</v>
      </c>
      <c r="B352" s="788"/>
      <c r="C352" s="788"/>
      <c r="D352" s="789"/>
      <c r="E352" s="262">
        <f>E336+E339+E341+E343+E345+E347+E349+E350</f>
        <v>8890000</v>
      </c>
    </row>
    <row r="353" spans="1:5">
      <c r="A353" s="264"/>
    </row>
    <row r="354" spans="1:5">
      <c r="A354" s="264" t="s">
        <v>194</v>
      </c>
      <c r="B354" s="264" t="s">
        <v>195</v>
      </c>
    </row>
    <row r="361" spans="1:5" ht="42.75" customHeight="1"/>
    <row r="364" spans="1:5">
      <c r="A364" s="553" t="s">
        <v>723</v>
      </c>
      <c r="B364" s="553"/>
      <c r="C364" s="553"/>
      <c r="D364" s="553"/>
      <c r="E364" s="553"/>
    </row>
    <row r="365" spans="1:5">
      <c r="A365" s="553" t="s">
        <v>187</v>
      </c>
      <c r="B365" s="553"/>
      <c r="C365" s="553"/>
      <c r="D365" s="553"/>
      <c r="E365" s="553"/>
    </row>
    <row r="366" spans="1:5">
      <c r="A366" s="166"/>
    </row>
    <row r="367" spans="1:5">
      <c r="A367" s="166" t="s">
        <v>724</v>
      </c>
    </row>
    <row r="368" spans="1:5">
      <c r="A368" s="166" t="s">
        <v>725</v>
      </c>
    </row>
    <row r="369" spans="1:5" ht="13.5" thickBot="1">
      <c r="A369" s="166"/>
    </row>
    <row r="370" spans="1:5">
      <c r="A370" s="783" t="s">
        <v>188</v>
      </c>
      <c r="B370" s="248" t="s">
        <v>189</v>
      </c>
      <c r="C370" s="783" t="s">
        <v>190</v>
      </c>
      <c r="D370" s="777"/>
      <c r="E370" s="248"/>
    </row>
    <row r="371" spans="1:5">
      <c r="A371" s="784"/>
      <c r="B371" s="249"/>
      <c r="C371" s="784"/>
      <c r="D371" s="778"/>
      <c r="E371" s="249">
        <v>2018</v>
      </c>
    </row>
    <row r="372" spans="1:5" ht="13.5" thickBot="1">
      <c r="A372" s="785"/>
      <c r="B372" s="250" t="s">
        <v>191</v>
      </c>
      <c r="C372" s="785"/>
      <c r="D372" s="779"/>
      <c r="E372" s="252"/>
    </row>
    <row r="373" spans="1:5">
      <c r="A373" s="780" t="s">
        <v>637</v>
      </c>
      <c r="B373" s="254" t="s">
        <v>726</v>
      </c>
      <c r="C373" s="780"/>
      <c r="D373" s="256" t="s">
        <v>192</v>
      </c>
      <c r="E373" s="258"/>
    </row>
    <row r="374" spans="1:5">
      <c r="A374" s="781"/>
      <c r="B374" s="254"/>
      <c r="C374" s="781"/>
      <c r="D374" s="256" t="s">
        <v>57</v>
      </c>
      <c r="E374" s="259">
        <v>360000</v>
      </c>
    </row>
    <row r="375" spans="1:5" ht="13.5" thickBot="1">
      <c r="A375" s="782"/>
      <c r="B375" s="255" t="s">
        <v>648</v>
      </c>
      <c r="C375" s="782"/>
      <c r="D375" s="252"/>
      <c r="E375" s="261"/>
    </row>
    <row r="376" spans="1:5">
      <c r="A376" s="780" t="s">
        <v>639</v>
      </c>
      <c r="B376" s="254" t="s">
        <v>640</v>
      </c>
      <c r="C376" s="780"/>
      <c r="D376" s="256" t="s">
        <v>192</v>
      </c>
      <c r="E376" s="258"/>
    </row>
    <row r="377" spans="1:5">
      <c r="A377" s="781"/>
      <c r="B377" s="254"/>
      <c r="C377" s="781"/>
      <c r="D377" s="256" t="s">
        <v>57</v>
      </c>
      <c r="E377" s="259">
        <v>100000</v>
      </c>
    </row>
    <row r="378" spans="1:5" ht="13.5" thickBot="1">
      <c r="A378" s="782"/>
      <c r="B378" s="255" t="s">
        <v>650</v>
      </c>
      <c r="C378" s="782"/>
      <c r="D378" s="252"/>
      <c r="E378" s="261"/>
    </row>
    <row r="379" spans="1:5">
      <c r="A379" s="780" t="s">
        <v>639</v>
      </c>
      <c r="B379" s="791" t="s">
        <v>727</v>
      </c>
      <c r="C379" s="780"/>
      <c r="D379" s="256" t="s">
        <v>192</v>
      </c>
      <c r="E379" s="793">
        <v>75000</v>
      </c>
    </row>
    <row r="380" spans="1:5" ht="13.5" thickBot="1">
      <c r="A380" s="782"/>
      <c r="B380" s="792"/>
      <c r="C380" s="782"/>
      <c r="D380" s="266" t="s">
        <v>57</v>
      </c>
      <c r="E380" s="794"/>
    </row>
    <row r="381" spans="1:5">
      <c r="A381" s="780" t="s">
        <v>639</v>
      </c>
      <c r="B381" s="791" t="s">
        <v>728</v>
      </c>
      <c r="C381" s="780"/>
      <c r="D381" s="256" t="s">
        <v>192</v>
      </c>
      <c r="E381" s="793">
        <v>30000</v>
      </c>
    </row>
    <row r="382" spans="1:5" ht="13.5" thickBot="1">
      <c r="A382" s="782"/>
      <c r="B382" s="792"/>
      <c r="C382" s="782"/>
      <c r="D382" s="266" t="s">
        <v>57</v>
      </c>
      <c r="E382" s="794"/>
    </row>
    <row r="383" spans="1:5" ht="13.5" thickBot="1">
      <c r="A383" s="787" t="s">
        <v>644</v>
      </c>
      <c r="B383" s="788"/>
      <c r="C383" s="788"/>
      <c r="D383" s="789"/>
      <c r="E383" s="262">
        <f>E374+E377+E379+E381</f>
        <v>565000</v>
      </c>
    </row>
    <row r="384" spans="1:5">
      <c r="A384" s="166"/>
    </row>
    <row r="385" spans="1:2">
      <c r="A385" s="264" t="s">
        <v>194</v>
      </c>
      <c r="B385" s="264" t="s">
        <v>195</v>
      </c>
    </row>
    <row r="405" spans="1:5">
      <c r="A405" s="553" t="s">
        <v>604</v>
      </c>
      <c r="B405" s="553"/>
      <c r="C405" s="553"/>
      <c r="D405" s="553"/>
      <c r="E405" s="553"/>
    </row>
    <row r="406" spans="1:5">
      <c r="A406" s="553" t="s">
        <v>187</v>
      </c>
      <c r="B406" s="553"/>
      <c r="C406" s="553"/>
      <c r="D406" s="553"/>
      <c r="E406" s="553"/>
    </row>
    <row r="407" spans="1:5">
      <c r="A407" s="166"/>
    </row>
    <row r="408" spans="1:5">
      <c r="A408" s="166" t="s">
        <v>729</v>
      </c>
    </row>
    <row r="409" spans="1:5">
      <c r="A409" s="166" t="s">
        <v>730</v>
      </c>
    </row>
    <row r="410" spans="1:5" ht="13.5" thickBot="1">
      <c r="A410" s="166"/>
    </row>
    <row r="411" spans="1:5">
      <c r="A411" s="783" t="s">
        <v>188</v>
      </c>
      <c r="B411" s="248" t="s">
        <v>189</v>
      </c>
      <c r="C411" s="783" t="s">
        <v>190</v>
      </c>
      <c r="D411" s="777"/>
      <c r="E411" s="248"/>
    </row>
    <row r="412" spans="1:5">
      <c r="A412" s="784"/>
      <c r="B412" s="249"/>
      <c r="C412" s="784"/>
      <c r="D412" s="778"/>
      <c r="E412" s="249">
        <v>2019</v>
      </c>
    </row>
    <row r="413" spans="1:5" ht="13.5" thickBot="1">
      <c r="A413" s="785"/>
      <c r="B413" s="250" t="s">
        <v>191</v>
      </c>
      <c r="C413" s="785"/>
      <c r="D413" s="779"/>
      <c r="E413" s="252"/>
    </row>
    <row r="414" spans="1:5">
      <c r="A414" s="780" t="s">
        <v>637</v>
      </c>
      <c r="B414" s="278" t="s">
        <v>731</v>
      </c>
      <c r="C414" s="780"/>
      <c r="D414" s="256" t="s">
        <v>192</v>
      </c>
      <c r="E414" s="258"/>
    </row>
    <row r="415" spans="1:5">
      <c r="A415" s="781"/>
      <c r="B415" s="278"/>
      <c r="C415" s="781"/>
      <c r="D415" s="256" t="s">
        <v>57</v>
      </c>
      <c r="E415" s="259">
        <v>2075544</v>
      </c>
    </row>
    <row r="416" spans="1:5" ht="13.5" thickBot="1">
      <c r="A416" s="782"/>
      <c r="B416" s="279" t="s">
        <v>648</v>
      </c>
      <c r="C416" s="782"/>
      <c r="D416" s="252"/>
      <c r="E416" s="261"/>
    </row>
    <row r="417" spans="1:5">
      <c r="A417" s="780" t="s">
        <v>637</v>
      </c>
      <c r="B417" s="278" t="s">
        <v>732</v>
      </c>
      <c r="C417" s="780"/>
      <c r="D417" s="256" t="s">
        <v>192</v>
      </c>
      <c r="E417" s="258"/>
    </row>
    <row r="418" spans="1:5">
      <c r="A418" s="781"/>
      <c r="B418" s="278"/>
      <c r="C418" s="781"/>
      <c r="D418" s="256" t="s">
        <v>57</v>
      </c>
      <c r="E418" s="259">
        <v>224520</v>
      </c>
    </row>
    <row r="419" spans="1:5" ht="13.5" thickBot="1">
      <c r="A419" s="782"/>
      <c r="B419" s="279" t="s">
        <v>648</v>
      </c>
      <c r="C419" s="782"/>
      <c r="D419" s="252"/>
      <c r="E419" s="260"/>
    </row>
    <row r="420" spans="1:5">
      <c r="A420" s="780" t="s">
        <v>637</v>
      </c>
      <c r="B420" s="278" t="s">
        <v>733</v>
      </c>
      <c r="C420" s="780"/>
      <c r="D420" s="256" t="s">
        <v>192</v>
      </c>
      <c r="E420" s="258"/>
    </row>
    <row r="421" spans="1:5">
      <c r="A421" s="781"/>
      <c r="B421" s="278"/>
      <c r="C421" s="781"/>
      <c r="D421" s="256" t="s">
        <v>57</v>
      </c>
      <c r="E421" s="259">
        <v>5000</v>
      </c>
    </row>
    <row r="422" spans="1:5" ht="13.5" thickBot="1">
      <c r="A422" s="782"/>
      <c r="B422" s="279" t="s">
        <v>648</v>
      </c>
      <c r="C422" s="782"/>
      <c r="D422" s="252"/>
      <c r="E422" s="261"/>
    </row>
    <row r="423" spans="1:5">
      <c r="A423" s="780" t="s">
        <v>639</v>
      </c>
      <c r="B423" s="278" t="s">
        <v>640</v>
      </c>
      <c r="C423" s="780"/>
      <c r="D423" s="256" t="s">
        <v>192</v>
      </c>
      <c r="E423" s="258"/>
    </row>
    <row r="424" spans="1:5">
      <c r="A424" s="781"/>
      <c r="B424" s="278"/>
      <c r="C424" s="781"/>
      <c r="D424" s="256" t="s">
        <v>57</v>
      </c>
      <c r="E424" s="259">
        <v>10000</v>
      </c>
    </row>
    <row r="425" spans="1:5" ht="13.5" thickBot="1">
      <c r="A425" s="782"/>
      <c r="B425" s="279" t="s">
        <v>695</v>
      </c>
      <c r="C425" s="782"/>
      <c r="D425" s="252"/>
      <c r="E425" s="261"/>
    </row>
    <row r="426" spans="1:5">
      <c r="A426" s="780" t="s">
        <v>637</v>
      </c>
      <c r="B426" s="278" t="s">
        <v>734</v>
      </c>
      <c r="C426" s="780"/>
      <c r="D426" s="256" t="s">
        <v>192</v>
      </c>
      <c r="E426" s="258"/>
    </row>
    <row r="427" spans="1:5">
      <c r="A427" s="781"/>
      <c r="B427" s="278"/>
      <c r="C427" s="781"/>
      <c r="D427" s="256" t="s">
        <v>57</v>
      </c>
      <c r="E427" s="259">
        <v>635838</v>
      </c>
    </row>
    <row r="428" spans="1:5" ht="13.5" thickBot="1">
      <c r="A428" s="782"/>
      <c r="B428" s="279" t="s">
        <v>648</v>
      </c>
      <c r="C428" s="782"/>
      <c r="D428" s="252"/>
      <c r="E428" s="261"/>
    </row>
    <row r="429" spans="1:5">
      <c r="A429" s="780" t="s">
        <v>637</v>
      </c>
      <c r="B429" s="278" t="s">
        <v>735</v>
      </c>
      <c r="C429" s="780"/>
      <c r="D429" s="256" t="s">
        <v>192</v>
      </c>
      <c r="E429" s="258"/>
    </row>
    <row r="430" spans="1:5">
      <c r="A430" s="781"/>
      <c r="B430" s="278"/>
      <c r="C430" s="781"/>
      <c r="D430" s="256" t="s">
        <v>57</v>
      </c>
      <c r="E430" s="259">
        <v>216000</v>
      </c>
    </row>
    <row r="431" spans="1:5" ht="13.5" thickBot="1">
      <c r="A431" s="782"/>
      <c r="B431" s="279" t="s">
        <v>648</v>
      </c>
      <c r="C431" s="782"/>
      <c r="D431" s="252"/>
      <c r="E431" s="261"/>
    </row>
    <row r="432" spans="1:5" ht="13.5" thickBot="1">
      <c r="A432" s="787" t="s">
        <v>644</v>
      </c>
      <c r="B432" s="788"/>
      <c r="C432" s="788"/>
      <c r="D432" s="789"/>
      <c r="E432" s="262">
        <v>3166902</v>
      </c>
    </row>
    <row r="433" spans="1:5">
      <c r="A433" s="264"/>
    </row>
    <row r="434" spans="1:5">
      <c r="A434" s="264" t="s">
        <v>194</v>
      </c>
      <c r="B434" s="264" t="s">
        <v>195</v>
      </c>
    </row>
    <row r="443" spans="1:5" ht="32.25" customHeight="1"/>
    <row r="445" spans="1:5">
      <c r="A445" s="553" t="s">
        <v>736</v>
      </c>
      <c r="B445" s="553"/>
      <c r="C445" s="553"/>
      <c r="D445" s="553"/>
      <c r="E445" s="553"/>
    </row>
    <row r="446" spans="1:5">
      <c r="A446" s="553" t="s">
        <v>187</v>
      </c>
      <c r="B446" s="553"/>
      <c r="C446" s="553"/>
      <c r="D446" s="553"/>
      <c r="E446" s="553"/>
    </row>
    <row r="447" spans="1:5">
      <c r="A447" s="166"/>
    </row>
    <row r="448" spans="1:5">
      <c r="A448" s="166" t="s">
        <v>737</v>
      </c>
    </row>
    <row r="449" spans="1:5">
      <c r="A449" s="166" t="s">
        <v>738</v>
      </c>
    </row>
    <row r="450" spans="1:5" ht="13.5" thickBot="1">
      <c r="A450" s="166"/>
    </row>
    <row r="451" spans="1:5">
      <c r="A451" s="783" t="s">
        <v>188</v>
      </c>
      <c r="B451" s="248" t="s">
        <v>189</v>
      </c>
      <c r="C451" s="783" t="s">
        <v>190</v>
      </c>
      <c r="D451" s="777"/>
      <c r="E451" s="248"/>
    </row>
    <row r="452" spans="1:5">
      <c r="A452" s="784"/>
      <c r="B452" s="249"/>
      <c r="C452" s="784"/>
      <c r="D452" s="778"/>
      <c r="E452" s="249">
        <v>2019</v>
      </c>
    </row>
    <row r="453" spans="1:5" ht="13.5" thickBot="1">
      <c r="A453" s="785"/>
      <c r="B453" s="250" t="s">
        <v>191</v>
      </c>
      <c r="C453" s="785"/>
      <c r="D453" s="779"/>
      <c r="E453" s="252"/>
    </row>
    <row r="454" spans="1:5">
      <c r="A454" s="780" t="s">
        <v>637</v>
      </c>
      <c r="B454" s="254" t="s">
        <v>647</v>
      </c>
      <c r="C454" s="780"/>
      <c r="D454" s="256" t="s">
        <v>192</v>
      </c>
      <c r="E454" s="258"/>
    </row>
    <row r="455" spans="1:5">
      <c r="A455" s="781"/>
      <c r="B455" s="254"/>
      <c r="C455" s="781"/>
      <c r="D455" s="256" t="s">
        <v>57</v>
      </c>
      <c r="E455" s="259">
        <v>100000</v>
      </c>
    </row>
    <row r="456" spans="1:5" ht="13.5" thickBot="1">
      <c r="A456" s="782"/>
      <c r="B456" s="255" t="s">
        <v>648</v>
      </c>
      <c r="C456" s="782"/>
      <c r="D456" s="252"/>
      <c r="E456" s="261"/>
    </row>
    <row r="457" spans="1:5">
      <c r="A457" s="780" t="s">
        <v>639</v>
      </c>
      <c r="B457" s="254" t="s">
        <v>739</v>
      </c>
      <c r="C457" s="780"/>
      <c r="D457" s="256" t="s">
        <v>192</v>
      </c>
      <c r="E457" s="258"/>
    </row>
    <row r="458" spans="1:5">
      <c r="A458" s="781"/>
      <c r="B458" s="254"/>
      <c r="C458" s="781"/>
      <c r="D458" s="256" t="s">
        <v>57</v>
      </c>
      <c r="E458" s="259">
        <v>200000</v>
      </c>
    </row>
    <row r="459" spans="1:5" ht="13.5" thickBot="1">
      <c r="A459" s="782"/>
      <c r="B459" s="255" t="s">
        <v>740</v>
      </c>
      <c r="C459" s="782"/>
      <c r="D459" s="252"/>
      <c r="E459" s="261"/>
    </row>
    <row r="460" spans="1:5">
      <c r="A460" s="780" t="s">
        <v>639</v>
      </c>
      <c r="B460" s="791" t="s">
        <v>741</v>
      </c>
      <c r="C460" s="780"/>
      <c r="D460" s="256" t="s">
        <v>192</v>
      </c>
      <c r="E460" s="258"/>
    </row>
    <row r="461" spans="1:5" ht="13.5" thickBot="1">
      <c r="A461" s="782"/>
      <c r="B461" s="792"/>
      <c r="C461" s="782"/>
      <c r="D461" s="266" t="s">
        <v>57</v>
      </c>
      <c r="E461" s="267">
        <v>5000</v>
      </c>
    </row>
    <row r="462" spans="1:5">
      <c r="A462" s="780" t="s">
        <v>639</v>
      </c>
      <c r="B462" s="791" t="s">
        <v>742</v>
      </c>
      <c r="C462" s="780"/>
      <c r="D462" s="256" t="s">
        <v>192</v>
      </c>
      <c r="E462" s="793">
        <v>20000</v>
      </c>
    </row>
    <row r="463" spans="1:5" ht="13.5" thickBot="1">
      <c r="A463" s="782"/>
      <c r="B463" s="792"/>
      <c r="C463" s="782"/>
      <c r="D463" s="266" t="s">
        <v>57</v>
      </c>
      <c r="E463" s="794"/>
    </row>
    <row r="464" spans="1:5" ht="13.5" thickBot="1">
      <c r="A464" s="787" t="s">
        <v>644</v>
      </c>
      <c r="B464" s="788"/>
      <c r="C464" s="788"/>
      <c r="D464" s="789"/>
      <c r="E464" s="262">
        <f>E455+E458+E461+E462</f>
        <v>325000</v>
      </c>
    </row>
    <row r="465" spans="1:2">
      <c r="A465" s="264"/>
    </row>
    <row r="466" spans="1:2">
      <c r="A466" s="264" t="s">
        <v>194</v>
      </c>
      <c r="B466" s="264" t="s">
        <v>195</v>
      </c>
    </row>
    <row r="467" spans="1:2">
      <c r="A467" s="166"/>
    </row>
    <row r="485" spans="1:5">
      <c r="A485" s="553" t="s">
        <v>604</v>
      </c>
      <c r="B485" s="553"/>
      <c r="C485" s="553"/>
      <c r="D485" s="553"/>
      <c r="E485" s="553"/>
    </row>
    <row r="486" spans="1:5">
      <c r="A486" s="553" t="s">
        <v>187</v>
      </c>
      <c r="B486" s="553"/>
      <c r="C486" s="553"/>
      <c r="D486" s="553"/>
      <c r="E486" s="553"/>
    </row>
    <row r="487" spans="1:5">
      <c r="A487" s="166"/>
    </row>
    <row r="488" spans="1:5">
      <c r="A488" s="166" t="s">
        <v>743</v>
      </c>
    </row>
    <row r="489" spans="1:5">
      <c r="A489" s="166" t="s">
        <v>779</v>
      </c>
    </row>
    <row r="490" spans="1:5" ht="13.5" thickBot="1">
      <c r="A490" s="166" t="s">
        <v>780</v>
      </c>
    </row>
    <row r="491" spans="1:5">
      <c r="A491" s="783" t="s">
        <v>188</v>
      </c>
      <c r="B491" s="248" t="s">
        <v>189</v>
      </c>
      <c r="C491" s="783" t="s">
        <v>190</v>
      </c>
      <c r="D491" s="777"/>
      <c r="E491" s="248"/>
    </row>
    <row r="492" spans="1:5">
      <c r="A492" s="784"/>
      <c r="B492" s="249"/>
      <c r="C492" s="784"/>
      <c r="D492" s="778"/>
      <c r="E492" s="249">
        <v>2019</v>
      </c>
    </row>
    <row r="493" spans="1:5" ht="13.5" thickBot="1">
      <c r="A493" s="785"/>
      <c r="B493" s="250" t="s">
        <v>191</v>
      </c>
      <c r="C493" s="785"/>
      <c r="D493" s="779"/>
      <c r="E493" s="252"/>
    </row>
    <row r="494" spans="1:5">
      <c r="A494" s="780" t="s">
        <v>637</v>
      </c>
      <c r="B494" s="254" t="s">
        <v>744</v>
      </c>
      <c r="C494" s="780"/>
      <c r="D494" s="256" t="s">
        <v>192</v>
      </c>
      <c r="E494" s="258"/>
    </row>
    <row r="495" spans="1:5">
      <c r="A495" s="781"/>
      <c r="B495" s="254"/>
      <c r="C495" s="781"/>
      <c r="D495" s="256" t="s">
        <v>57</v>
      </c>
      <c r="E495" s="259">
        <v>2100000</v>
      </c>
    </row>
    <row r="496" spans="1:5" ht="13.5" thickBot="1">
      <c r="A496" s="782"/>
      <c r="B496" s="255" t="s">
        <v>648</v>
      </c>
      <c r="C496" s="782"/>
      <c r="D496" s="252"/>
      <c r="E496" s="261"/>
    </row>
    <row r="497" spans="1:5" ht="25.5">
      <c r="A497" s="780" t="s">
        <v>637</v>
      </c>
      <c r="B497" s="254" t="s">
        <v>745</v>
      </c>
      <c r="C497" s="780"/>
      <c r="D497" s="256" t="s">
        <v>192</v>
      </c>
      <c r="E497" s="258"/>
    </row>
    <row r="498" spans="1:5">
      <c r="A498" s="781"/>
      <c r="B498" s="254"/>
      <c r="C498" s="781"/>
      <c r="D498" s="256" t="s">
        <v>57</v>
      </c>
      <c r="E498" s="259">
        <v>2300000</v>
      </c>
    </row>
    <row r="499" spans="1:5" ht="13.5" thickBot="1">
      <c r="A499" s="782"/>
      <c r="B499" s="255" t="s">
        <v>648</v>
      </c>
      <c r="C499" s="782"/>
      <c r="D499" s="252"/>
      <c r="E499" s="261"/>
    </row>
    <row r="500" spans="1:5">
      <c r="A500" s="780"/>
      <c r="B500" s="791" t="s">
        <v>746</v>
      </c>
      <c r="C500" s="780"/>
      <c r="D500" s="256" t="s">
        <v>192</v>
      </c>
      <c r="E500" s="258"/>
    </row>
    <row r="501" spans="1:5" ht="13.5" thickBot="1">
      <c r="A501" s="782"/>
      <c r="B501" s="792"/>
      <c r="C501" s="782"/>
      <c r="D501" s="266" t="s">
        <v>57</v>
      </c>
      <c r="E501" s="267">
        <v>500000</v>
      </c>
    </row>
    <row r="502" spans="1:5" ht="13.5" thickBot="1">
      <c r="A502" s="787" t="s">
        <v>644</v>
      </c>
      <c r="B502" s="788"/>
      <c r="C502" s="788"/>
      <c r="D502" s="789"/>
      <c r="E502" s="262">
        <f>E495+E498+E501</f>
        <v>4900000</v>
      </c>
    </row>
    <row r="503" spans="1:5">
      <c r="A503" s="264"/>
    </row>
    <row r="504" spans="1:5">
      <c r="A504" s="264" t="s">
        <v>194</v>
      </c>
      <c r="B504" s="264" t="s">
        <v>195</v>
      </c>
    </row>
    <row r="520" spans="1:6">
      <c r="A520" s="553"/>
      <c r="B520" s="553"/>
      <c r="C520" s="553"/>
      <c r="D520" s="553"/>
      <c r="E520" s="553"/>
    </row>
    <row r="521" spans="1:6">
      <c r="A521" s="553"/>
      <c r="B521" s="553"/>
      <c r="C521" s="553"/>
      <c r="D521" s="553"/>
      <c r="E521" s="553"/>
    </row>
    <row r="522" spans="1:6">
      <c r="A522" s="464"/>
      <c r="B522" s="464"/>
      <c r="C522" s="464"/>
      <c r="D522" s="464"/>
      <c r="E522" s="464"/>
    </row>
    <row r="523" spans="1:6">
      <c r="A523" s="464"/>
      <c r="B523" s="553" t="s">
        <v>604</v>
      </c>
      <c r="C523" s="553"/>
      <c r="D523" s="553"/>
      <c r="E523" s="553"/>
      <c r="F523" s="553"/>
    </row>
    <row r="524" spans="1:6">
      <c r="A524" s="464"/>
      <c r="B524" s="553" t="s">
        <v>812</v>
      </c>
      <c r="C524" s="553"/>
      <c r="D524" s="553"/>
      <c r="E524" s="553"/>
    </row>
    <row r="525" spans="1:6">
      <c r="A525" s="464"/>
      <c r="B525" s="464"/>
      <c r="C525" s="464"/>
      <c r="D525" s="464"/>
      <c r="E525" s="464"/>
    </row>
    <row r="526" spans="1:6">
      <c r="A526" s="166"/>
    </row>
    <row r="527" spans="1:6">
      <c r="A527" s="166" t="s">
        <v>747</v>
      </c>
    </row>
    <row r="528" spans="1:6" ht="13.5" thickBot="1">
      <c r="A528" s="166" t="s">
        <v>748</v>
      </c>
    </row>
    <row r="529" spans="1:5">
      <c r="A529" s="783" t="s">
        <v>188</v>
      </c>
      <c r="B529" s="248" t="s">
        <v>189</v>
      </c>
      <c r="C529" s="783" t="s">
        <v>190</v>
      </c>
      <c r="D529" s="777"/>
      <c r="E529" s="248"/>
    </row>
    <row r="530" spans="1:5">
      <c r="A530" s="784"/>
      <c r="B530" s="249"/>
      <c r="C530" s="784"/>
      <c r="D530" s="778"/>
      <c r="E530" s="249">
        <v>2019</v>
      </c>
    </row>
    <row r="531" spans="1:5" ht="13.5" thickBot="1">
      <c r="A531" s="785"/>
      <c r="B531" s="250" t="s">
        <v>191</v>
      </c>
      <c r="C531" s="785"/>
      <c r="D531" s="779"/>
      <c r="E531" s="252"/>
    </row>
    <row r="532" spans="1:5">
      <c r="A532" s="780" t="s">
        <v>637</v>
      </c>
      <c r="B532" s="254" t="s">
        <v>749</v>
      </c>
      <c r="C532" s="780"/>
      <c r="D532" s="256" t="s">
        <v>192</v>
      </c>
      <c r="E532" s="258"/>
    </row>
    <row r="533" spans="1:5">
      <c r="A533" s="781"/>
      <c r="B533" s="254"/>
      <c r="C533" s="781"/>
      <c r="D533" s="256" t="s">
        <v>57</v>
      </c>
      <c r="E533" s="259">
        <v>520000</v>
      </c>
    </row>
    <row r="534" spans="1:5" ht="13.5" thickBot="1">
      <c r="A534" s="782"/>
      <c r="B534" s="255" t="s">
        <v>648</v>
      </c>
      <c r="C534" s="782"/>
      <c r="D534" s="252"/>
      <c r="E534" s="261"/>
    </row>
    <row r="535" spans="1:5">
      <c r="A535" s="780" t="s">
        <v>639</v>
      </c>
      <c r="B535" s="254" t="s">
        <v>750</v>
      </c>
      <c r="C535" s="780"/>
      <c r="D535" s="256" t="s">
        <v>192</v>
      </c>
      <c r="E535" s="258"/>
    </row>
    <row r="536" spans="1:5">
      <c r="A536" s="781"/>
      <c r="B536" s="254"/>
      <c r="C536" s="781"/>
      <c r="D536" s="256" t="s">
        <v>57</v>
      </c>
      <c r="E536" s="259">
        <v>120000</v>
      </c>
    </row>
    <row r="537" spans="1:5" ht="13.5" thickBot="1">
      <c r="A537" s="782"/>
      <c r="B537" s="255" t="s">
        <v>751</v>
      </c>
      <c r="C537" s="782"/>
      <c r="D537" s="252"/>
      <c r="E537" s="261"/>
    </row>
    <row r="538" spans="1:5">
      <c r="A538" s="780" t="s">
        <v>637</v>
      </c>
      <c r="B538" s="254" t="s">
        <v>752</v>
      </c>
      <c r="C538" s="780"/>
      <c r="D538" s="256" t="s">
        <v>192</v>
      </c>
      <c r="E538" s="258"/>
    </row>
    <row r="539" spans="1:5">
      <c r="A539" s="781"/>
      <c r="B539" s="254"/>
      <c r="C539" s="781"/>
      <c r="D539" s="256" t="s">
        <v>57</v>
      </c>
      <c r="E539" s="259">
        <v>200000</v>
      </c>
    </row>
    <row r="540" spans="1:5" ht="13.5" thickBot="1">
      <c r="A540" s="782"/>
      <c r="B540" s="255" t="s">
        <v>753</v>
      </c>
      <c r="C540" s="782"/>
      <c r="D540" s="252"/>
      <c r="E540" s="261"/>
    </row>
    <row r="541" spans="1:5" ht="25.5">
      <c r="A541" s="780" t="s">
        <v>637</v>
      </c>
      <c r="B541" s="254" t="s">
        <v>754</v>
      </c>
      <c r="C541" s="780"/>
      <c r="D541" s="256" t="s">
        <v>192</v>
      </c>
      <c r="E541" s="258"/>
    </row>
    <row r="542" spans="1:5">
      <c r="A542" s="781"/>
      <c r="B542" s="254"/>
      <c r="C542" s="781"/>
      <c r="D542" s="256" t="s">
        <v>57</v>
      </c>
      <c r="E542" s="259">
        <v>80000</v>
      </c>
    </row>
    <row r="543" spans="1:5" ht="13.5" thickBot="1">
      <c r="A543" s="782"/>
      <c r="B543" s="255" t="s">
        <v>755</v>
      </c>
      <c r="C543" s="782"/>
      <c r="D543" s="252"/>
      <c r="E543" s="261"/>
    </row>
    <row r="544" spans="1:5">
      <c r="A544" s="780" t="s">
        <v>639</v>
      </c>
      <c r="B544" s="254" t="s">
        <v>756</v>
      </c>
      <c r="C544" s="780"/>
      <c r="D544" s="256" t="s">
        <v>192</v>
      </c>
      <c r="E544" s="258"/>
    </row>
    <row r="545" spans="1:5">
      <c r="A545" s="781"/>
      <c r="B545" s="254"/>
      <c r="C545" s="781"/>
      <c r="D545" s="256" t="s">
        <v>57</v>
      </c>
      <c r="E545" s="259">
        <v>25000</v>
      </c>
    </row>
    <row r="546" spans="1:5" ht="13.5" thickBot="1">
      <c r="A546" s="782"/>
      <c r="B546" s="255" t="s">
        <v>757</v>
      </c>
      <c r="C546" s="782"/>
      <c r="D546" s="252"/>
      <c r="E546" s="261"/>
    </row>
    <row r="547" spans="1:5">
      <c r="A547" s="780" t="s">
        <v>639</v>
      </c>
      <c r="B547" s="791" t="s">
        <v>758</v>
      </c>
      <c r="C547" s="780"/>
      <c r="D547" s="256" t="s">
        <v>192</v>
      </c>
      <c r="E547" s="793"/>
    </row>
    <row r="548" spans="1:5" ht="13.5" thickBot="1">
      <c r="A548" s="782"/>
      <c r="B548" s="792"/>
      <c r="C548" s="782"/>
      <c r="D548" s="266" t="s">
        <v>57</v>
      </c>
      <c r="E548" s="794"/>
    </row>
    <row r="549" spans="1:5">
      <c r="A549" s="780" t="s">
        <v>639</v>
      </c>
      <c r="B549" s="791" t="s">
        <v>759</v>
      </c>
      <c r="C549" s="780"/>
      <c r="D549" s="256" t="s">
        <v>192</v>
      </c>
      <c r="E549" s="258"/>
    </row>
    <row r="550" spans="1:5" ht="13.5" thickBot="1">
      <c r="A550" s="782"/>
      <c r="B550" s="792"/>
      <c r="C550" s="782"/>
      <c r="D550" s="266" t="s">
        <v>57</v>
      </c>
      <c r="E550" s="267">
        <v>30000</v>
      </c>
    </row>
    <row r="551" spans="1:5">
      <c r="A551" s="780" t="s">
        <v>639</v>
      </c>
      <c r="B551" s="791" t="s">
        <v>760</v>
      </c>
      <c r="C551" s="780"/>
      <c r="D551" s="256" t="s">
        <v>192</v>
      </c>
      <c r="E551" s="258"/>
    </row>
    <row r="552" spans="1:5" ht="13.5" thickBot="1">
      <c r="A552" s="782"/>
      <c r="B552" s="792"/>
      <c r="C552" s="782"/>
      <c r="D552" s="266" t="s">
        <v>57</v>
      </c>
      <c r="E552" s="267">
        <v>100000</v>
      </c>
    </row>
    <row r="553" spans="1:5" ht="13.5" thickBot="1">
      <c r="A553" s="787" t="s">
        <v>644</v>
      </c>
      <c r="B553" s="788"/>
      <c r="C553" s="788"/>
      <c r="D553" s="789"/>
      <c r="E553" s="262">
        <f xml:space="preserve"> E533+E536+E539+E542+E545+E547+E550+E552</f>
        <v>1075000</v>
      </c>
    </row>
    <row r="554" spans="1:5">
      <c r="A554" s="264"/>
    </row>
    <row r="555" spans="1:5">
      <c r="A555" s="264" t="s">
        <v>194</v>
      </c>
      <c r="B555" s="264" t="s">
        <v>195</v>
      </c>
    </row>
  </sheetData>
  <mergeCells count="287">
    <mergeCell ref="C44:C46"/>
    <mergeCell ref="C47:C49"/>
    <mergeCell ref="C50:C52"/>
    <mergeCell ref="D44:D46"/>
    <mergeCell ref="A90:A92"/>
    <mergeCell ref="C90:C92"/>
    <mergeCell ref="D90:D92"/>
    <mergeCell ref="A85:H85"/>
    <mergeCell ref="A84:E84"/>
    <mergeCell ref="A44:A46"/>
    <mergeCell ref="A136:A138"/>
    <mergeCell ref="C136:C138"/>
    <mergeCell ref="A139:A140"/>
    <mergeCell ref="B139:B140"/>
    <mergeCell ref="C139:C140"/>
    <mergeCell ref="A141:A142"/>
    <mergeCell ref="B141:B142"/>
    <mergeCell ref="C141:C142"/>
    <mergeCell ref="A38:I40"/>
    <mergeCell ref="A96:A97"/>
    <mergeCell ref="B96:B97"/>
    <mergeCell ref="C96:C97"/>
    <mergeCell ref="A98:D98"/>
    <mergeCell ref="A133:A135"/>
    <mergeCell ref="C133:C135"/>
    <mergeCell ref="D133:D135"/>
    <mergeCell ref="A127:E127"/>
    <mergeCell ref="A128:E128"/>
    <mergeCell ref="A47:A49"/>
    <mergeCell ref="A50:A52"/>
    <mergeCell ref="C53:C54"/>
    <mergeCell ref="A55:D55"/>
    <mergeCell ref="A93:A95"/>
    <mergeCell ref="C93:C95"/>
    <mergeCell ref="A147:D147"/>
    <mergeCell ref="A178:A180"/>
    <mergeCell ref="C178:C180"/>
    <mergeCell ref="D178:D180"/>
    <mergeCell ref="A181:A183"/>
    <mergeCell ref="C181:C183"/>
    <mergeCell ref="A169:E169"/>
    <mergeCell ref="A170:E170"/>
    <mergeCell ref="A143:A144"/>
    <mergeCell ref="B143:B144"/>
    <mergeCell ref="C143:C144"/>
    <mergeCell ref="A145:A146"/>
    <mergeCell ref="B145:B146"/>
    <mergeCell ref="C145:C146"/>
    <mergeCell ref="A192:A193"/>
    <mergeCell ref="C192:C193"/>
    <mergeCell ref="A194:A195"/>
    <mergeCell ref="C194:C195"/>
    <mergeCell ref="A196:A197"/>
    <mergeCell ref="C196:C197"/>
    <mergeCell ref="A184:A185"/>
    <mergeCell ref="C184:C185"/>
    <mergeCell ref="A186:A188"/>
    <mergeCell ref="C186:C188"/>
    <mergeCell ref="A189:A191"/>
    <mergeCell ref="C189:C191"/>
    <mergeCell ref="A207:A208"/>
    <mergeCell ref="C207:C208"/>
    <mergeCell ref="A209:A210"/>
    <mergeCell ref="C209:C210"/>
    <mergeCell ref="A211:A212"/>
    <mergeCell ref="C211:C212"/>
    <mergeCell ref="A198:A199"/>
    <mergeCell ref="C198:C199"/>
    <mergeCell ref="E198:E199"/>
    <mergeCell ref="A200:A202"/>
    <mergeCell ref="C200:C202"/>
    <mergeCell ref="A205:A206"/>
    <mergeCell ref="C205:C206"/>
    <mergeCell ref="A219:A220"/>
    <mergeCell ref="C219:C220"/>
    <mergeCell ref="A221:A222"/>
    <mergeCell ref="C221:C222"/>
    <mergeCell ref="A223:A224"/>
    <mergeCell ref="C223:C224"/>
    <mergeCell ref="A213:A214"/>
    <mergeCell ref="C213:C214"/>
    <mergeCell ref="A215:A216"/>
    <mergeCell ref="C215:C216"/>
    <mergeCell ref="A217:A218"/>
    <mergeCell ref="C217:C218"/>
    <mergeCell ref="E223:E224"/>
    <mergeCell ref="A225:D225"/>
    <mergeCell ref="A247:A249"/>
    <mergeCell ref="C247:C249"/>
    <mergeCell ref="D247:D249"/>
    <mergeCell ref="A250:A252"/>
    <mergeCell ref="C250:C252"/>
    <mergeCell ref="A240:E240"/>
    <mergeCell ref="A241:E241"/>
    <mergeCell ref="A261:A262"/>
    <mergeCell ref="C261:C262"/>
    <mergeCell ref="E261:E262"/>
    <mergeCell ref="A263:A264"/>
    <mergeCell ref="C263:C264"/>
    <mergeCell ref="E263:E264"/>
    <mergeCell ref="A253:A255"/>
    <mergeCell ref="C253:C255"/>
    <mergeCell ref="E253:E255"/>
    <mergeCell ref="A256:A258"/>
    <mergeCell ref="C256:C258"/>
    <mergeCell ref="A259:A260"/>
    <mergeCell ref="C259:C260"/>
    <mergeCell ref="E259:E260"/>
    <mergeCell ref="A265:A266"/>
    <mergeCell ref="C265:C266"/>
    <mergeCell ref="E265:E266"/>
    <mergeCell ref="A267:D267"/>
    <mergeCell ref="A287:A289"/>
    <mergeCell ref="C287:C289"/>
    <mergeCell ref="D287:D289"/>
    <mergeCell ref="A281:E281"/>
    <mergeCell ref="A282:E282"/>
    <mergeCell ref="A297:A298"/>
    <mergeCell ref="C297:C298"/>
    <mergeCell ref="A299:A300"/>
    <mergeCell ref="B299:B300"/>
    <mergeCell ref="C299:C300"/>
    <mergeCell ref="A301:A302"/>
    <mergeCell ref="C301:C302"/>
    <mergeCell ref="A290:A292"/>
    <mergeCell ref="C290:C292"/>
    <mergeCell ref="A293:A294"/>
    <mergeCell ref="C293:C294"/>
    <mergeCell ref="A295:A296"/>
    <mergeCell ref="C295:C296"/>
    <mergeCell ref="A338:A339"/>
    <mergeCell ref="B338:B339"/>
    <mergeCell ref="C338:C339"/>
    <mergeCell ref="A340:A341"/>
    <mergeCell ref="B340:B341"/>
    <mergeCell ref="C340:C341"/>
    <mergeCell ref="A303:D303"/>
    <mergeCell ref="A332:A334"/>
    <mergeCell ref="C332:C334"/>
    <mergeCell ref="D332:D334"/>
    <mergeCell ref="A335:A337"/>
    <mergeCell ref="C335:C337"/>
    <mergeCell ref="A323:E323"/>
    <mergeCell ref="A324:E324"/>
    <mergeCell ref="A346:A347"/>
    <mergeCell ref="B346:B347"/>
    <mergeCell ref="C346:C347"/>
    <mergeCell ref="A348:A349"/>
    <mergeCell ref="B348:B349"/>
    <mergeCell ref="C348:C349"/>
    <mergeCell ref="A342:A343"/>
    <mergeCell ref="B342:B343"/>
    <mergeCell ref="C342:C343"/>
    <mergeCell ref="A344:A345"/>
    <mergeCell ref="B344:B345"/>
    <mergeCell ref="C344:C345"/>
    <mergeCell ref="A350:A351"/>
    <mergeCell ref="B350:B351"/>
    <mergeCell ref="C350:C351"/>
    <mergeCell ref="E350:E351"/>
    <mergeCell ref="A352:D352"/>
    <mergeCell ref="A370:A372"/>
    <mergeCell ref="C370:C372"/>
    <mergeCell ref="D370:D372"/>
    <mergeCell ref="A364:E364"/>
    <mergeCell ref="A365:E365"/>
    <mergeCell ref="E379:E380"/>
    <mergeCell ref="A381:A382"/>
    <mergeCell ref="B381:B382"/>
    <mergeCell ref="C381:C382"/>
    <mergeCell ref="E381:E382"/>
    <mergeCell ref="A383:D383"/>
    <mergeCell ref="A373:A375"/>
    <mergeCell ref="C373:C375"/>
    <mergeCell ref="A376:A378"/>
    <mergeCell ref="C376:C378"/>
    <mergeCell ref="A379:A380"/>
    <mergeCell ref="B379:B380"/>
    <mergeCell ref="C379:C380"/>
    <mergeCell ref="A429:A431"/>
    <mergeCell ref="C429:C431"/>
    <mergeCell ref="A432:D432"/>
    <mergeCell ref="A405:E405"/>
    <mergeCell ref="A406:E406"/>
    <mergeCell ref="A451:A453"/>
    <mergeCell ref="C451:C453"/>
    <mergeCell ref="D451:D453"/>
    <mergeCell ref="A445:E445"/>
    <mergeCell ref="A446:E446"/>
    <mergeCell ref="A420:A422"/>
    <mergeCell ref="C420:C422"/>
    <mergeCell ref="A423:A425"/>
    <mergeCell ref="C423:C425"/>
    <mergeCell ref="A426:A428"/>
    <mergeCell ref="C426:C428"/>
    <mergeCell ref="A411:A413"/>
    <mergeCell ref="C411:C413"/>
    <mergeCell ref="D411:D413"/>
    <mergeCell ref="A414:A416"/>
    <mergeCell ref="C414:C416"/>
    <mergeCell ref="A417:A419"/>
    <mergeCell ref="C417:C419"/>
    <mergeCell ref="E462:E463"/>
    <mergeCell ref="A464:D464"/>
    <mergeCell ref="A491:A493"/>
    <mergeCell ref="C491:C493"/>
    <mergeCell ref="D491:D493"/>
    <mergeCell ref="A485:E485"/>
    <mergeCell ref="A486:E486"/>
    <mergeCell ref="A454:A456"/>
    <mergeCell ref="C454:C456"/>
    <mergeCell ref="A457:A459"/>
    <mergeCell ref="C457:C459"/>
    <mergeCell ref="A460:A461"/>
    <mergeCell ref="B460:B461"/>
    <mergeCell ref="C460:C461"/>
    <mergeCell ref="A494:A496"/>
    <mergeCell ref="C494:C496"/>
    <mergeCell ref="A497:A499"/>
    <mergeCell ref="C497:C499"/>
    <mergeCell ref="A500:A501"/>
    <mergeCell ref="B500:B501"/>
    <mergeCell ref="C500:C501"/>
    <mergeCell ref="A462:A463"/>
    <mergeCell ref="B462:B463"/>
    <mergeCell ref="C462:C463"/>
    <mergeCell ref="C538:C540"/>
    <mergeCell ref="A541:A543"/>
    <mergeCell ref="C541:C543"/>
    <mergeCell ref="A502:D502"/>
    <mergeCell ref="A529:A531"/>
    <mergeCell ref="C529:C531"/>
    <mergeCell ref="D529:D531"/>
    <mergeCell ref="A532:A534"/>
    <mergeCell ref="C532:C534"/>
    <mergeCell ref="A520:E520"/>
    <mergeCell ref="A521:E521"/>
    <mergeCell ref="B523:F523"/>
    <mergeCell ref="B524:E524"/>
    <mergeCell ref="A553:D553"/>
    <mergeCell ref="E32:E33"/>
    <mergeCell ref="A30:A31"/>
    <mergeCell ref="B30:B31"/>
    <mergeCell ref="C30:C31"/>
    <mergeCell ref="E30:E31"/>
    <mergeCell ref="A34:D34"/>
    <mergeCell ref="A32:A33"/>
    <mergeCell ref="B32:B33"/>
    <mergeCell ref="A549:A550"/>
    <mergeCell ref="B549:B550"/>
    <mergeCell ref="C549:C550"/>
    <mergeCell ref="A551:A552"/>
    <mergeCell ref="B551:B552"/>
    <mergeCell ref="C551:C552"/>
    <mergeCell ref="A544:A546"/>
    <mergeCell ref="C544:C546"/>
    <mergeCell ref="A547:A548"/>
    <mergeCell ref="B547:B548"/>
    <mergeCell ref="C547:C548"/>
    <mergeCell ref="E547:E548"/>
    <mergeCell ref="A535:A537"/>
    <mergeCell ref="C535:C537"/>
    <mergeCell ref="A538:A540"/>
    <mergeCell ref="C32:C33"/>
    <mergeCell ref="A26:A27"/>
    <mergeCell ref="B26:B27"/>
    <mergeCell ref="C26:C27"/>
    <mergeCell ref="E26:E27"/>
    <mergeCell ref="A28:A29"/>
    <mergeCell ref="B28:B29"/>
    <mergeCell ref="C28:C29"/>
    <mergeCell ref="E28:E29"/>
    <mergeCell ref="D7:D9"/>
    <mergeCell ref="A1:E3"/>
    <mergeCell ref="A13:A15"/>
    <mergeCell ref="C13:C15"/>
    <mergeCell ref="A10:A12"/>
    <mergeCell ref="C10:C12"/>
    <mergeCell ref="A7:A9"/>
    <mergeCell ref="C7:C9"/>
    <mergeCell ref="A24:A25"/>
    <mergeCell ref="B24:B25"/>
    <mergeCell ref="C24:C25"/>
    <mergeCell ref="E24:E25"/>
    <mergeCell ref="A16:A18"/>
    <mergeCell ref="C16:C18"/>
    <mergeCell ref="A19:D19"/>
  </mergeCells>
  <phoneticPr fontId="25" type="noConversion"/>
  <pageMargins left="0.39370078740157483" right="0.39370078740157483" top="0.39370078740157483" bottom="0.39370078740157483" header="0.19685039370078741" footer="0.19685039370078741"/>
  <pageSetup paperSize="9" orientation="landscape" verticalDpi="0" r:id="rId1"/>
  <headerFooter alignWithMargins="0">
    <oddHeader xml:space="preserve">&amp;C
PREFEITURA MUNICIPAL DE PORTÃO
Centro Administrativo Arthur Pedro Muller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N30"/>
  <sheetViews>
    <sheetView workbookViewId="0">
      <selection activeCell="L27" sqref="L27"/>
    </sheetView>
  </sheetViews>
  <sheetFormatPr defaultRowHeight="12.75"/>
  <cols>
    <col min="1" max="1" width="19.7109375" customWidth="1"/>
    <col min="2" max="2" width="19.140625" customWidth="1"/>
    <col min="3" max="3" width="12.28515625" customWidth="1"/>
    <col min="4" max="4" width="14.42578125" customWidth="1"/>
    <col min="5" max="5" width="11.28515625" customWidth="1"/>
    <col min="6" max="6" width="12.42578125" customWidth="1"/>
    <col min="7" max="7" width="10.85546875" customWidth="1"/>
    <col min="8" max="8" width="11.5703125" customWidth="1"/>
    <col min="9" max="9" width="11.140625" customWidth="1"/>
    <col min="10" max="10" width="0.7109375" customWidth="1"/>
    <col min="11" max="11" width="3.7109375" hidden="1" customWidth="1"/>
    <col min="12" max="12" width="13.140625" customWidth="1"/>
  </cols>
  <sheetData>
    <row r="1" spans="1:12">
      <c r="A1" s="804" t="s">
        <v>811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6"/>
    </row>
    <row r="2" spans="1:12" ht="13.5" thickBot="1">
      <c r="A2" s="807"/>
      <c r="B2" s="808"/>
      <c r="C2" s="808"/>
      <c r="D2" s="808"/>
      <c r="E2" s="808"/>
      <c r="F2" s="808"/>
      <c r="G2" s="808"/>
      <c r="H2" s="808"/>
      <c r="I2" s="808"/>
      <c r="J2" s="808"/>
      <c r="K2" s="808"/>
      <c r="L2" s="809"/>
    </row>
    <row r="3" spans="1:12" ht="15.75">
      <c r="A3" s="804" t="s">
        <v>605</v>
      </c>
      <c r="B3" s="810"/>
      <c r="C3" s="810"/>
      <c r="D3" s="810"/>
      <c r="E3" s="810"/>
      <c r="F3" s="810"/>
      <c r="G3" s="810"/>
      <c r="H3" s="810"/>
      <c r="I3" s="810"/>
      <c r="J3" s="810"/>
      <c r="K3" s="810"/>
      <c r="L3" s="811"/>
    </row>
    <row r="4" spans="1:12" ht="15.75">
      <c r="A4" s="812" t="s">
        <v>196</v>
      </c>
      <c r="B4" s="813"/>
      <c r="C4" s="813"/>
      <c r="D4" s="813"/>
      <c r="E4" s="813"/>
      <c r="F4" s="813"/>
      <c r="G4" s="813"/>
      <c r="H4" s="813"/>
      <c r="I4" s="813"/>
      <c r="J4" s="813"/>
      <c r="K4" s="813"/>
      <c r="L4" s="814"/>
    </row>
    <row r="5" spans="1:12" ht="16.5" thickBot="1">
      <c r="A5" s="815" t="s">
        <v>197</v>
      </c>
      <c r="B5" s="816"/>
      <c r="C5" s="816"/>
      <c r="D5" s="816"/>
      <c r="E5" s="816"/>
      <c r="F5" s="816"/>
      <c r="G5" s="816"/>
      <c r="H5" s="816"/>
      <c r="I5" s="816"/>
      <c r="J5" s="816"/>
      <c r="K5" s="816"/>
      <c r="L5" s="817"/>
    </row>
    <row r="6" spans="1:12" ht="16.5" thickBot="1">
      <c r="A6" s="823" t="s">
        <v>198</v>
      </c>
      <c r="B6" s="824"/>
      <c r="C6" s="824"/>
      <c r="D6" s="824"/>
      <c r="E6" s="824"/>
      <c r="F6" s="824"/>
      <c r="G6" s="824"/>
      <c r="H6" s="824"/>
      <c r="I6" s="824"/>
      <c r="J6" s="824"/>
      <c r="K6" s="824"/>
      <c r="L6" s="825"/>
    </row>
    <row r="7" spans="1:12" ht="13.5" thickBot="1">
      <c r="A7" s="826"/>
      <c r="B7" s="827"/>
      <c r="C7" s="522"/>
      <c r="D7" s="522"/>
      <c r="E7" s="820" t="s">
        <v>199</v>
      </c>
      <c r="F7" s="821"/>
      <c r="G7" s="822"/>
      <c r="H7" s="820" t="s">
        <v>606</v>
      </c>
      <c r="I7" s="821"/>
      <c r="J7" s="821"/>
      <c r="K7" s="821"/>
      <c r="L7" s="822"/>
    </row>
    <row r="8" spans="1:12" ht="12.75" customHeight="1">
      <c r="A8" s="830" t="s">
        <v>200</v>
      </c>
      <c r="B8" s="831"/>
      <c r="C8" s="818" t="s">
        <v>201</v>
      </c>
      <c r="D8" s="818" t="s">
        <v>202</v>
      </c>
      <c r="E8" s="818" t="s">
        <v>607</v>
      </c>
      <c r="F8" s="818" t="s">
        <v>608</v>
      </c>
      <c r="G8" s="818" t="s">
        <v>609</v>
      </c>
      <c r="H8" s="818" t="s">
        <v>203</v>
      </c>
      <c r="I8" s="818" t="s">
        <v>208</v>
      </c>
      <c r="J8" s="818"/>
      <c r="K8" s="818"/>
      <c r="L8" s="818" t="s">
        <v>204</v>
      </c>
    </row>
    <row r="9" spans="1:12" ht="29.25" customHeight="1" thickBot="1">
      <c r="A9" s="832"/>
      <c r="B9" s="833"/>
      <c r="C9" s="819"/>
      <c r="D9" s="819"/>
      <c r="E9" s="819"/>
      <c r="F9" s="819"/>
      <c r="G9" s="819"/>
      <c r="H9" s="819"/>
      <c r="I9" s="819"/>
      <c r="J9" s="819"/>
      <c r="K9" s="819"/>
      <c r="L9" s="819"/>
    </row>
    <row r="10" spans="1:12" ht="13.5" thickBot="1">
      <c r="A10" s="828"/>
      <c r="B10" s="829"/>
      <c r="C10" s="523"/>
      <c r="D10" s="524"/>
      <c r="E10" s="525"/>
      <c r="F10" s="525"/>
      <c r="G10" s="525"/>
      <c r="H10" s="525"/>
      <c r="I10" s="525"/>
      <c r="J10" s="526"/>
      <c r="K10" s="527"/>
      <c r="L10" s="525"/>
    </row>
    <row r="11" spans="1:12" ht="13.5" thickBot="1">
      <c r="A11" s="828"/>
      <c r="B11" s="829"/>
      <c r="C11" s="528"/>
      <c r="D11" s="529"/>
      <c r="E11" s="525"/>
      <c r="F11" s="525"/>
      <c r="G11" s="525"/>
      <c r="H11" s="525"/>
      <c r="I11" s="525"/>
      <c r="J11" s="530"/>
      <c r="K11" s="527"/>
      <c r="L11" s="525"/>
    </row>
    <row r="12" spans="1:12" ht="13.5" thickBot="1">
      <c r="A12" s="828"/>
      <c r="B12" s="829"/>
      <c r="C12" s="531"/>
      <c r="D12" s="529"/>
      <c r="E12" s="525"/>
      <c r="F12" s="525"/>
      <c r="G12" s="525"/>
      <c r="H12" s="525"/>
      <c r="I12" s="525"/>
      <c r="J12" s="532"/>
      <c r="K12" s="527"/>
      <c r="L12" s="525"/>
    </row>
    <row r="13" spans="1:12" ht="13.5" thickBot="1">
      <c r="A13" s="828"/>
      <c r="B13" s="829"/>
      <c r="C13" s="531"/>
      <c r="D13" s="529"/>
      <c r="E13" s="525"/>
      <c r="F13" s="525"/>
      <c r="G13" s="525"/>
      <c r="H13" s="525"/>
      <c r="I13" s="525"/>
      <c r="J13" s="532"/>
      <c r="K13" s="527"/>
      <c r="L13" s="525"/>
    </row>
    <row r="14" spans="1:12" ht="27" customHeight="1" thickBot="1">
      <c r="A14" s="828"/>
      <c r="B14" s="829"/>
      <c r="C14" s="528"/>
      <c r="D14" s="529"/>
      <c r="E14" s="525"/>
      <c r="F14" s="525"/>
      <c r="G14" s="525"/>
      <c r="H14" s="525"/>
      <c r="I14" s="525"/>
      <c r="J14" s="532"/>
      <c r="K14" s="527"/>
      <c r="L14" s="525"/>
    </row>
    <row r="15" spans="1:12" ht="13.5" thickBot="1">
      <c r="A15" s="828"/>
      <c r="B15" s="829"/>
      <c r="C15" s="531"/>
      <c r="D15" s="529"/>
      <c r="E15" s="525"/>
      <c r="F15" s="525"/>
      <c r="G15" s="525"/>
      <c r="H15" s="525"/>
      <c r="I15" s="525"/>
      <c r="J15" s="532"/>
      <c r="K15" s="527"/>
      <c r="L15" s="525"/>
    </row>
    <row r="16" spans="1:12" ht="13.5" thickBot="1">
      <c r="A16" s="828"/>
      <c r="B16" s="829"/>
      <c r="C16" s="528"/>
      <c r="D16" s="529"/>
      <c r="E16" s="525"/>
      <c r="F16" s="525"/>
      <c r="G16" s="525"/>
      <c r="H16" s="525"/>
      <c r="I16" s="525"/>
      <c r="J16" s="532"/>
      <c r="K16" s="527"/>
      <c r="L16" s="525"/>
    </row>
    <row r="17" spans="1:14" ht="13.5" thickBot="1">
      <c r="A17" s="828"/>
      <c r="B17" s="829"/>
      <c r="C17" s="528"/>
      <c r="D17" s="529"/>
      <c r="E17" s="525"/>
      <c r="F17" s="525"/>
      <c r="G17" s="525"/>
      <c r="H17" s="525"/>
      <c r="I17" s="525"/>
      <c r="J17" s="532"/>
      <c r="K17" s="527"/>
      <c r="L17" s="525"/>
    </row>
    <row r="18" spans="1:14" ht="13.5" thickBot="1">
      <c r="A18" s="828"/>
      <c r="B18" s="829"/>
      <c r="C18" s="528"/>
      <c r="D18" s="529"/>
      <c r="E18" s="525"/>
      <c r="F18" s="525"/>
      <c r="G18" s="525"/>
      <c r="H18" s="525"/>
      <c r="I18" s="525"/>
      <c r="J18" s="532"/>
      <c r="K18" s="527"/>
      <c r="L18" s="525"/>
    </row>
    <row r="19" spans="1:14" ht="13.5" thickBot="1">
      <c r="A19" s="828"/>
      <c r="B19" s="829"/>
      <c r="C19" s="528"/>
      <c r="D19" s="529"/>
      <c r="E19" s="525"/>
      <c r="F19" s="525"/>
      <c r="G19" s="525"/>
      <c r="H19" s="525"/>
      <c r="I19" s="525"/>
      <c r="J19" s="532"/>
      <c r="K19" s="527"/>
      <c r="L19" s="525"/>
    </row>
    <row r="20" spans="1:14" ht="13.5" thickBot="1">
      <c r="A20" s="828"/>
      <c r="B20" s="829"/>
      <c r="C20" s="528"/>
      <c r="D20" s="529"/>
      <c r="E20" s="525"/>
      <c r="F20" s="525"/>
      <c r="G20" s="525"/>
      <c r="H20" s="525"/>
      <c r="I20" s="525"/>
      <c r="J20" s="532"/>
      <c r="K20" s="527"/>
      <c r="L20" s="525"/>
    </row>
    <row r="21" spans="1:14" ht="13.5" thickBot="1">
      <c r="A21" s="828"/>
      <c r="B21" s="829"/>
      <c r="C21" s="528"/>
      <c r="D21" s="529"/>
      <c r="E21" s="525"/>
      <c r="F21" s="525"/>
      <c r="G21" s="525"/>
      <c r="H21" s="525"/>
      <c r="I21" s="525"/>
      <c r="J21" s="532"/>
      <c r="K21" s="527"/>
      <c r="L21" s="525"/>
    </row>
    <row r="22" spans="1:14" ht="13.5" thickBot="1">
      <c r="A22" s="828"/>
      <c r="B22" s="829"/>
      <c r="C22" s="528"/>
      <c r="D22" s="529"/>
      <c r="E22" s="525"/>
      <c r="F22" s="525"/>
      <c r="G22" s="525"/>
      <c r="H22" s="525"/>
      <c r="I22" s="525"/>
      <c r="J22" s="532"/>
      <c r="K22" s="527"/>
      <c r="L22" s="525"/>
    </row>
    <row r="23" spans="1:14" ht="13.5" thickBot="1">
      <c r="A23" s="828"/>
      <c r="B23" s="829"/>
      <c r="C23" s="528"/>
      <c r="D23" s="529"/>
      <c r="E23" s="525"/>
      <c r="F23" s="525"/>
      <c r="G23" s="525"/>
      <c r="H23" s="525"/>
      <c r="I23" s="525"/>
      <c r="J23" s="532"/>
      <c r="K23" s="527"/>
      <c r="L23" s="525"/>
    </row>
    <row r="24" spans="1:14" ht="13.5" thickBot="1">
      <c r="A24" s="828"/>
      <c r="B24" s="829"/>
      <c r="C24" s="528"/>
      <c r="D24" s="529"/>
      <c r="E24" s="525"/>
      <c r="F24" s="525"/>
      <c r="G24" s="525"/>
      <c r="H24" s="525"/>
      <c r="I24" s="525"/>
      <c r="J24" s="532"/>
      <c r="K24" s="527"/>
      <c r="L24" s="525"/>
    </row>
    <row r="25" spans="1:14" ht="13.5" thickBot="1">
      <c r="A25" s="828"/>
      <c r="B25" s="829"/>
      <c r="C25" s="528"/>
      <c r="D25" s="529"/>
      <c r="E25" s="525"/>
      <c r="F25" s="525"/>
      <c r="G25" s="525"/>
      <c r="H25" s="525"/>
      <c r="I25" s="525"/>
      <c r="J25" s="532"/>
      <c r="K25" s="527"/>
      <c r="L25" s="525"/>
    </row>
    <row r="26" spans="1:14" ht="13.5" thickBot="1">
      <c r="A26" s="828"/>
      <c r="B26" s="829"/>
      <c r="C26" s="528"/>
      <c r="D26" s="529"/>
      <c r="E26" s="525"/>
      <c r="F26" s="525"/>
      <c r="G26" s="525"/>
      <c r="H26" s="525"/>
      <c r="I26" s="525"/>
      <c r="J26" s="532"/>
      <c r="K26" s="527"/>
      <c r="L26" s="525"/>
    </row>
    <row r="27" spans="1:14" ht="13.5" thickBot="1">
      <c r="A27" s="834" t="s">
        <v>205</v>
      </c>
      <c r="B27" s="835"/>
      <c r="C27" s="835"/>
      <c r="D27" s="835"/>
      <c r="E27" s="835"/>
      <c r="F27" s="835"/>
      <c r="G27" s="836"/>
      <c r="H27" s="525">
        <f>SUM(H10:H26)</f>
        <v>0</v>
      </c>
      <c r="I27" s="525">
        <v>0</v>
      </c>
      <c r="J27" s="527"/>
      <c r="K27" s="527"/>
      <c r="L27" s="525">
        <f>SUM(L10:L26)</f>
        <v>0</v>
      </c>
    </row>
    <row r="30" spans="1:14">
      <c r="N30" s="87"/>
    </row>
  </sheetData>
  <mergeCells count="37">
    <mergeCell ref="A27:G27"/>
    <mergeCell ref="A25:B25"/>
    <mergeCell ref="A26:B26"/>
    <mergeCell ref="A23:B23"/>
    <mergeCell ref="A20:B20"/>
    <mergeCell ref="A21:B21"/>
    <mergeCell ref="A22:B22"/>
    <mergeCell ref="A24:B24"/>
    <mergeCell ref="A11:B11"/>
    <mergeCell ref="I8:I9"/>
    <mergeCell ref="J8:J9"/>
    <mergeCell ref="K8:K9"/>
    <mergeCell ref="A19:B19"/>
    <mergeCell ref="A16:B16"/>
    <mergeCell ref="A17:B17"/>
    <mergeCell ref="A18:B18"/>
    <mergeCell ref="A15:B15"/>
    <mergeCell ref="A10:B10"/>
    <mergeCell ref="E8:E9"/>
    <mergeCell ref="A8:B9"/>
    <mergeCell ref="C8:C9"/>
    <mergeCell ref="A12:B12"/>
    <mergeCell ref="A13:B13"/>
    <mergeCell ref="A14:B14"/>
    <mergeCell ref="A1:L2"/>
    <mergeCell ref="A3:L3"/>
    <mergeCell ref="A4:L4"/>
    <mergeCell ref="A5:L5"/>
    <mergeCell ref="L8:L9"/>
    <mergeCell ref="F8:F9"/>
    <mergeCell ref="H7:L7"/>
    <mergeCell ref="D8:D9"/>
    <mergeCell ref="H8:H9"/>
    <mergeCell ref="G8:G9"/>
    <mergeCell ref="A6:L6"/>
    <mergeCell ref="A7:B7"/>
    <mergeCell ref="E7:G7"/>
  </mergeCells>
  <phoneticPr fontId="25" type="noConversion"/>
  <pageMargins left="0.78740157480314965" right="0.78740157480314965" top="0.98425196850393704" bottom="0.98425196850393704" header="0.51181102362204722" footer="0.51181102362204722"/>
  <pageSetup paperSize="9" scale="90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FU299"/>
  <sheetViews>
    <sheetView tabSelected="1" topLeftCell="B1" zoomScaleSheetLayoutView="30" workbookViewId="0">
      <selection activeCell="I105" sqref="I105"/>
    </sheetView>
  </sheetViews>
  <sheetFormatPr defaultColWidth="19.140625" defaultRowHeight="15.75"/>
  <cols>
    <col min="1" max="1" width="21.28515625" style="4" customWidth="1"/>
    <col min="2" max="2" width="53.5703125" style="4" customWidth="1"/>
    <col min="3" max="3" width="14.7109375" style="4" customWidth="1"/>
    <col min="4" max="4" width="14.85546875" style="4" customWidth="1"/>
    <col min="5" max="5" width="15.140625" style="4" customWidth="1"/>
    <col min="6" max="6" width="15.5703125" style="4" customWidth="1"/>
    <col min="7" max="7" width="15.28515625" style="4" customWidth="1"/>
    <col min="8" max="8" width="14.5703125" style="4" customWidth="1"/>
    <col min="9" max="9" width="15.85546875" style="4" customWidth="1"/>
    <col min="10" max="177" width="19.140625" style="72"/>
    <col min="178" max="16384" width="19.140625" style="4"/>
  </cols>
  <sheetData>
    <row r="1" spans="1:177" s="2" customFormat="1" ht="17.649999999999999" customHeight="1">
      <c r="A1" s="550" t="str">
        <f>Parâmetros!A7</f>
        <v>Município de : PORTÃO/RS</v>
      </c>
      <c r="B1" s="551"/>
      <c r="C1" s="551"/>
      <c r="D1" s="551"/>
      <c r="E1" s="551"/>
      <c r="F1" s="551"/>
      <c r="G1" s="551"/>
      <c r="H1" s="551"/>
      <c r="I1" s="551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</row>
    <row r="2" spans="1:177" s="2" customFormat="1" ht="30" customHeight="1">
      <c r="A2" s="550" t="str">
        <f>Parâmetros!A8</f>
        <v>LEI DE DIRETRIZES ORÇAMENTÁRIAS  PARA 2019</v>
      </c>
      <c r="B2" s="551"/>
      <c r="C2" s="551"/>
      <c r="D2" s="551"/>
      <c r="E2" s="551"/>
      <c r="F2" s="551"/>
      <c r="G2" s="551"/>
      <c r="H2" s="551"/>
      <c r="I2" s="551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</row>
    <row r="3" spans="1:177" s="2" customFormat="1" ht="19.5" customHeight="1">
      <c r="A3" s="552" t="s">
        <v>484</v>
      </c>
      <c r="B3" s="551"/>
      <c r="C3" s="551"/>
      <c r="D3" s="551"/>
      <c r="E3" s="551"/>
      <c r="F3" s="551"/>
      <c r="G3" s="551"/>
      <c r="H3" s="551"/>
      <c r="I3" s="551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</row>
    <row r="4" spans="1:177" s="2" customFormat="1" hidden="1">
      <c r="A4" s="140"/>
      <c r="B4" s="141"/>
      <c r="C4" s="141"/>
      <c r="D4" s="141"/>
      <c r="E4" s="141"/>
      <c r="F4" s="141"/>
      <c r="G4" s="141"/>
      <c r="H4" s="141"/>
      <c r="I4" s="141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</row>
    <row r="5" spans="1:177" s="2" customFormat="1">
      <c r="A5" s="142"/>
      <c r="B5" s="139"/>
      <c r="C5" s="139"/>
      <c r="D5" s="139"/>
      <c r="E5" s="139"/>
      <c r="F5" s="139"/>
      <c r="G5" s="139"/>
      <c r="H5" s="139"/>
      <c r="I5" s="143" t="s">
        <v>55</v>
      </c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</row>
    <row r="6" spans="1:177" s="1" customFormat="1">
      <c r="A6" s="99"/>
      <c r="B6" s="100" t="s">
        <v>0</v>
      </c>
      <c r="C6" s="101" t="s">
        <v>213</v>
      </c>
      <c r="D6" s="101" t="s">
        <v>213</v>
      </c>
      <c r="E6" s="101" t="s">
        <v>213</v>
      </c>
      <c r="F6" s="102" t="s">
        <v>129</v>
      </c>
      <c r="G6" s="102" t="s">
        <v>12</v>
      </c>
      <c r="H6" s="103" t="s">
        <v>12</v>
      </c>
      <c r="I6" s="104" t="s">
        <v>12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</row>
    <row r="7" spans="1:177" s="1" customFormat="1" ht="27.75" customHeight="1">
      <c r="A7" s="105"/>
      <c r="B7" s="106" t="s">
        <v>8</v>
      </c>
      <c r="C7" s="107">
        <f>Parâmetros!B10-1</f>
        <v>2015</v>
      </c>
      <c r="D7" s="108">
        <f t="shared" ref="D7:I7" si="0">C7+1</f>
        <v>2016</v>
      </c>
      <c r="E7" s="108">
        <f t="shared" si="0"/>
        <v>2017</v>
      </c>
      <c r="F7" s="108">
        <f t="shared" si="0"/>
        <v>2018</v>
      </c>
      <c r="G7" s="108">
        <f t="shared" si="0"/>
        <v>2019</v>
      </c>
      <c r="H7" s="108">
        <f t="shared" si="0"/>
        <v>2020</v>
      </c>
      <c r="I7" s="108">
        <f t="shared" si="0"/>
        <v>2021</v>
      </c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</row>
    <row r="8" spans="1:177" s="56" customFormat="1" ht="17.45" customHeight="1">
      <c r="A8" s="109" t="s">
        <v>214</v>
      </c>
      <c r="B8" s="110" t="s">
        <v>215</v>
      </c>
      <c r="C8" s="111">
        <f t="shared" ref="C8:I8" si="1">C9+C15+C23+C34+C35+C36+C39+C66</f>
        <v>78200238.75</v>
      </c>
      <c r="D8" s="111">
        <f t="shared" si="1"/>
        <v>90876880.030000016</v>
      </c>
      <c r="E8" s="111">
        <f t="shared" si="1"/>
        <v>92745686.410000011</v>
      </c>
      <c r="F8" s="111">
        <f t="shared" si="1"/>
        <v>92543650</v>
      </c>
      <c r="G8" s="111">
        <f t="shared" si="1"/>
        <v>93769023.681788176</v>
      </c>
      <c r="H8" s="111">
        <f t="shared" si="1"/>
        <v>96698865.895300314</v>
      </c>
      <c r="I8" s="111">
        <f t="shared" si="1"/>
        <v>100692757.20075823</v>
      </c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</row>
    <row r="9" spans="1:177" s="8" customFormat="1" ht="12.75">
      <c r="A9" s="112" t="s">
        <v>216</v>
      </c>
      <c r="B9" s="113" t="s">
        <v>217</v>
      </c>
      <c r="C9" s="114">
        <f t="shared" ref="C9:I9" si="2">C10+C11+C12+C13+C14</f>
        <v>9618482.1699999981</v>
      </c>
      <c r="D9" s="114">
        <f t="shared" si="2"/>
        <v>10129979.310000001</v>
      </c>
      <c r="E9" s="114">
        <f t="shared" si="2"/>
        <v>10559311.320000002</v>
      </c>
      <c r="F9" s="114">
        <f>F10+F11+F12+F13+F14</f>
        <v>14368650</v>
      </c>
      <c r="G9" s="114">
        <f t="shared" si="2"/>
        <v>13472687.84307358</v>
      </c>
      <c r="H9" s="114">
        <f t="shared" si="2"/>
        <v>14384590.792815728</v>
      </c>
      <c r="I9" s="114">
        <f t="shared" si="2"/>
        <v>15488645.408973452</v>
      </c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</row>
    <row r="10" spans="1:177" s="8" customFormat="1" ht="25.5">
      <c r="A10" s="115" t="s">
        <v>399</v>
      </c>
      <c r="B10" s="116" t="s">
        <v>402</v>
      </c>
      <c r="C10" s="97">
        <v>1368800.33</v>
      </c>
      <c r="D10" s="97">
        <f>1683143.41</f>
        <v>1683143.41</v>
      </c>
      <c r="E10" s="117">
        <f>1751058.05+300146.13</f>
        <v>2051204.1800000002</v>
      </c>
      <c r="F10" s="117">
        <v>2300000</v>
      </c>
      <c r="G10" s="118">
        <f>(((D10*(1+Parâmetros!B11)*(1+Parâmetros!C11)*(1+Parâmetros!D11))+(E10*(1+Parâmetros!C11)*(1+Parâmetros!D11)+(F10*(1+Parâmetros!D11))))/3)*(1+Parâmetros!E11)*(1+Parâmetros!E15)</f>
        <v>2320032.2629202027</v>
      </c>
      <c r="H10" s="118">
        <f>G10*(1+Parâmetros!F11)*(1+Parâmetros!F15)</f>
        <v>2477064.3480316792</v>
      </c>
      <c r="I10" s="118">
        <f>H10*(1+Parâmetros!G11)*(1+Parâmetros!G15)</f>
        <v>2667185.4552188213</v>
      </c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</row>
    <row r="11" spans="1:177" s="8" customFormat="1" ht="25.5">
      <c r="A11" s="115" t="s">
        <v>400</v>
      </c>
      <c r="B11" s="116" t="s">
        <v>403</v>
      </c>
      <c r="C11" s="97">
        <f>155160.77+161576.72</f>
        <v>316737.49</v>
      </c>
      <c r="D11" s="97">
        <v>158201.5</v>
      </c>
      <c r="E11" s="117">
        <v>115005.36</v>
      </c>
      <c r="F11" s="117">
        <v>242650</v>
      </c>
      <c r="G11" s="118">
        <f>(((D11*(1+Parâmetros!B11)*(1+Parâmetros!C11)*(1+Parâmetros!D11))+(E11*(1+Parâmetros!C11)*(1+Parâmetros!D11)+(F11*(1+Parâmetros!D11))))/3)*(1+Parâmetros!E11)*(1+Parâmetros!E15)</f>
        <v>198011.68456709717</v>
      </c>
      <c r="H11" s="118">
        <f>G11*(1+Parâmetros!F11)*(1+Parâmetros!F15)</f>
        <v>211414.16530021821</v>
      </c>
      <c r="I11" s="118">
        <f>H11*(1+Parâmetros!G11)*(1+Parâmetros!G15)</f>
        <v>227640.75029542114</v>
      </c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</row>
    <row r="12" spans="1:177" s="8" customFormat="1" ht="12.75">
      <c r="A12" s="115" t="s">
        <v>218</v>
      </c>
      <c r="B12" s="116" t="s">
        <v>401</v>
      </c>
      <c r="C12" s="97">
        <f>43828+1594159.54+3871730.63+1468674.3</f>
        <v>6978392.4699999997</v>
      </c>
      <c r="D12" s="97">
        <f>1727006.56+22.89+1257104.75+4022084.58+244669.7</f>
        <v>7250888.4800000004</v>
      </c>
      <c r="E12" s="117">
        <f>1906065.78+973107.06+4243776.74</f>
        <v>7122949.5800000001</v>
      </c>
      <c r="F12" s="117">
        <f>9100000+1010000+295000</f>
        <v>10405000</v>
      </c>
      <c r="G12" s="118">
        <f>(((D12*(1+Parâmetros!B11)*(1+Parâmetros!C11)*(1+Parâmetros!D11))+(E12*(1+Parâmetros!C11)*(1+Parâmetros!D11)+(F12*(1+Parâmetros!D11))))/3)*(1+Parâmetros!E11)*(1+Parâmetros!E15)</f>
        <v>9521042.8888294399</v>
      </c>
      <c r="H12" s="118">
        <f>G12*(1+Parâmetros!F11)*(1+Parâmetros!F15)</f>
        <v>10165477.555176193</v>
      </c>
      <c r="I12" s="118">
        <f>H12*(1+Parâmetros!G11)*(1+Parâmetros!G15)</f>
        <v>10945704.297937993</v>
      </c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</row>
    <row r="13" spans="1:177" s="8" customFormat="1" ht="12" customHeight="1">
      <c r="A13" s="115" t="s">
        <v>219</v>
      </c>
      <c r="B13" s="116" t="s">
        <v>220</v>
      </c>
      <c r="C13" s="97">
        <v>950404.03</v>
      </c>
      <c r="D13" s="97">
        <v>1036061.93</v>
      </c>
      <c r="E13" s="117">
        <v>1269176.05</v>
      </c>
      <c r="F13" s="117">
        <v>1400000</v>
      </c>
      <c r="G13" s="118">
        <f>(((D13*(1+Parâmetros!B11)*(1+Parâmetros!C11)*(1+Parâmetros!D11))+(E13*(1+Parâmetros!C11)*(1+Parâmetros!D11)+(F13*(1+Parâmetros!D11))))/3)*(1+Parâmetros!E11)*(1+Parâmetros!E15)</f>
        <v>1424796.0853293738</v>
      </c>
      <c r="H13" s="118">
        <f>G13*(1+Parâmetros!F11)*(1+Parâmetros!F15)</f>
        <v>1521233.8391114366</v>
      </c>
      <c r="I13" s="118">
        <f>H13*(1+Parâmetros!G11)*(1+Parâmetros!G15)</f>
        <v>1637992.4780269866</v>
      </c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</row>
    <row r="14" spans="1:177" s="8" customFormat="1" ht="12.75">
      <c r="A14" s="115" t="s">
        <v>221</v>
      </c>
      <c r="B14" s="116" t="s">
        <v>222</v>
      </c>
      <c r="C14" s="97">
        <v>4147.8500000000004</v>
      </c>
      <c r="D14" s="97">
        <v>1683.99</v>
      </c>
      <c r="E14" s="117">
        <v>976.15</v>
      </c>
      <c r="F14" s="117">
        <v>21000</v>
      </c>
      <c r="G14" s="118">
        <f>(((D14*(1+Parâmetros!B11)*(1+Parâmetros!C11)*(1+Parâmetros!D11))+(E14*(1+Parâmetros!C11)*(1+Parâmetros!D11)+(F14*(1+Parâmetros!D11))))/3)*(1+Parâmetros!E11)*(1+Parâmetros!E15)</f>
        <v>8804.9214274659789</v>
      </c>
      <c r="H14" s="118">
        <f>G14*(1+Parâmetros!F11)*(1+Parâmetros!F15)</f>
        <v>9400.8851962014032</v>
      </c>
      <c r="I14" s="118">
        <f>H14*(1+Parâmetros!G11)*(1+Parâmetros!G15)</f>
        <v>10122.427494229005</v>
      </c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</row>
    <row r="15" spans="1:177" customFormat="1" ht="12.75">
      <c r="A15" s="112" t="s">
        <v>223</v>
      </c>
      <c r="B15" s="113" t="s">
        <v>224</v>
      </c>
      <c r="C15" s="114">
        <f t="shared" ref="C15:I15" si="3">C16+C21+C22</f>
        <v>3919170.84</v>
      </c>
      <c r="D15" s="114">
        <f t="shared" si="3"/>
        <v>4017322.6900000004</v>
      </c>
      <c r="E15" s="114">
        <f t="shared" si="3"/>
        <v>4330915.67</v>
      </c>
      <c r="F15" s="114">
        <f t="shared" si="3"/>
        <v>4153000</v>
      </c>
      <c r="G15" s="114">
        <f t="shared" si="3"/>
        <v>4566249.7367585078</v>
      </c>
      <c r="H15" s="114">
        <f t="shared" si="3"/>
        <v>4881519.4676469555</v>
      </c>
      <c r="I15" s="114">
        <f t="shared" si="3"/>
        <v>5255014.4943663636</v>
      </c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</row>
    <row r="16" spans="1:177" customFormat="1" ht="12.75">
      <c r="A16" s="112" t="s">
        <v>225</v>
      </c>
      <c r="B16" s="113" t="s">
        <v>226</v>
      </c>
      <c r="C16" s="114">
        <f t="shared" ref="C16:I16" si="4">C17+C18+C19+C20</f>
        <v>2362431.19</v>
      </c>
      <c r="D16" s="114">
        <f t="shared" si="4"/>
        <v>2578762.66</v>
      </c>
      <c r="E16" s="114">
        <f t="shared" si="4"/>
        <v>2660055.39</v>
      </c>
      <c r="F16" s="114">
        <f t="shared" si="4"/>
        <v>2781000</v>
      </c>
      <c r="G16" s="114">
        <f t="shared" si="4"/>
        <v>3166249.7367585078</v>
      </c>
      <c r="H16" s="114">
        <f t="shared" si="4"/>
        <v>3386211.1636469555</v>
      </c>
      <c r="I16" s="114">
        <f t="shared" si="4"/>
        <v>3659759.5440776749</v>
      </c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</row>
    <row r="17" spans="1:177" customFormat="1" ht="25.5">
      <c r="A17" s="115" t="s">
        <v>227</v>
      </c>
      <c r="B17" s="116" t="s">
        <v>386</v>
      </c>
      <c r="C17" s="97">
        <v>2238813.52</v>
      </c>
      <c r="D17" s="97">
        <v>2500544.02</v>
      </c>
      <c r="E17" s="117">
        <v>2603667.33</v>
      </c>
      <c r="F17" s="117">
        <v>2701000</v>
      </c>
      <c r="G17" s="118">
        <f>(((D17*(1+Parâmetros!B11)*(1+Parâmetros!C11)*(1+Parâmetros!D11))+(E17*(1+Parâmetros!C11)*(1+Parâmetros!D11)+(F17*(1+Parâmetros!D11))))/3)*(1+Parâmetros!E11)*(1+Parâmetros!E13)*(1+Parâmetros!E18)</f>
        <v>3085404.3595971819</v>
      </c>
      <c r="H17" s="118">
        <f>G17*(1+Parâmetros!F11)*(1+Parâmetros!F13)*(1+Parâmetros!F18)</f>
        <v>3302115.8023237442</v>
      </c>
      <c r="I17" s="118">
        <f>H17*(1+Parâmetros!G11)*(1+Parâmetros!G13)*(1+Parâmetros!G18)</f>
        <v>3572350.8255183292</v>
      </c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</row>
    <row r="18" spans="1:177" customFormat="1" ht="12.75">
      <c r="A18" s="115" t="s">
        <v>228</v>
      </c>
      <c r="B18" s="116" t="s">
        <v>229</v>
      </c>
      <c r="C18" s="97"/>
      <c r="D18" s="97"/>
      <c r="E18" s="117">
        <v>0</v>
      </c>
      <c r="F18" s="117">
        <v>0</v>
      </c>
      <c r="G18" s="118">
        <f>(((D18*(1+Parâmetros!B11)*(1+Parâmetros!C11)*(1+Parâmetros!D11))+(E18*(1+Parâmetros!C11)*(1+Parâmetros!D11)+(F18*(1+Parâmetros!D11))))/3)*(1+Parâmetros!E11)</f>
        <v>0</v>
      </c>
      <c r="H18" s="118">
        <f>G18*(1+Parâmetros!F11)</f>
        <v>0</v>
      </c>
      <c r="I18" s="118">
        <f>H18*(1+Parâmetros!G11)</f>
        <v>0</v>
      </c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</row>
    <row r="19" spans="1:177" customFormat="1" ht="12.75">
      <c r="A19" s="115" t="s">
        <v>230</v>
      </c>
      <c r="B19" s="116" t="s">
        <v>231</v>
      </c>
      <c r="C19" s="97">
        <v>123617.67</v>
      </c>
      <c r="D19" s="97">
        <v>78218.64</v>
      </c>
      <c r="E19" s="117">
        <v>56388.06</v>
      </c>
      <c r="F19" s="117">
        <v>80000</v>
      </c>
      <c r="G19" s="118">
        <f>(((D19*(1+Parâmetros!B11)*(1+Parâmetros!C11)*(1+Parâmetros!D11))+(E19*(1+Parâmetros!C11)*(1+Parâmetros!D11)+(F19*(1+Parâmetros!D11))))/3)*(1+Parâmetros!E11)</f>
        <v>80845.377161325829</v>
      </c>
      <c r="H19" s="118">
        <f>G19*(1+Parâmetros!F11)</f>
        <v>84095.361323211124</v>
      </c>
      <c r="I19" s="118">
        <f>H19*(1+Parâmetros!G11)</f>
        <v>87408.718559345652</v>
      </c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</row>
    <row r="20" spans="1:177" customFormat="1" ht="12.75">
      <c r="A20" s="115" t="s">
        <v>232</v>
      </c>
      <c r="B20" s="116" t="s">
        <v>233</v>
      </c>
      <c r="C20" s="97"/>
      <c r="D20" s="97"/>
      <c r="E20" s="117">
        <v>0</v>
      </c>
      <c r="F20" s="117">
        <v>0</v>
      </c>
      <c r="G20" s="118">
        <f>(((D20*(1+Parâmetros!B11)*(1+Parâmetros!C11)*(1+Parâmetros!D11))+(E20*(1+Parâmetros!C11)*(1+Parâmetros!D11)+(F20*(1+Parâmetros!D11))))/3)*(1+Parâmetros!E11)</f>
        <v>0</v>
      </c>
      <c r="H20" s="118">
        <f>G20*(1+Parâmetros!F11)</f>
        <v>0</v>
      </c>
      <c r="I20" s="118">
        <f>H20*(1+Parâmetros!G11)</f>
        <v>0</v>
      </c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</row>
    <row r="21" spans="1:177" s="8" customFormat="1" ht="12.75">
      <c r="A21" s="115" t="s">
        <v>234</v>
      </c>
      <c r="B21" s="116" t="s">
        <v>235</v>
      </c>
      <c r="C21" s="97"/>
      <c r="D21" s="97"/>
      <c r="E21" s="117">
        <v>0</v>
      </c>
      <c r="F21" s="117">
        <v>0</v>
      </c>
      <c r="G21" s="118">
        <f>(((D21*(1+Parâmetros!B11)*(1+Parâmetros!C11)*(1+Parâmetros!D11))+(E21*(1+Parâmetros!C11)*(1+Parâmetros!D11)+(F21*(1+Parâmetros!D11))))/3)*(1+Parâmetros!E11)</f>
        <v>0</v>
      </c>
      <c r="H21" s="118">
        <f>G21*(1+Parâmetros!F11)</f>
        <v>0</v>
      </c>
      <c r="I21" s="118">
        <f>H21*(1+Parâmetros!G11)</f>
        <v>0</v>
      </c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</row>
    <row r="22" spans="1:177" s="8" customFormat="1" ht="12.75">
      <c r="A22" s="115" t="s">
        <v>236</v>
      </c>
      <c r="B22" s="116" t="s">
        <v>237</v>
      </c>
      <c r="C22" s="97">
        <v>1556739.65</v>
      </c>
      <c r="D22" s="97">
        <v>1438560.03</v>
      </c>
      <c r="E22" s="117">
        <v>1670860.28</v>
      </c>
      <c r="F22" s="117">
        <v>1372000</v>
      </c>
      <c r="G22" s="118">
        <v>1400000</v>
      </c>
      <c r="H22" s="118">
        <f>G22*(1+Parâmetros!F11)*(1+Parâmetros!F12)</f>
        <v>1495308.304</v>
      </c>
      <c r="I22" s="118">
        <f>H22*(1+Parâmetros!G11)*(1+Parâmetros!G12)</f>
        <v>1595254.9502886888</v>
      </c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</row>
    <row r="23" spans="1:177" s="8" customFormat="1" ht="12.75">
      <c r="A23" s="112" t="s">
        <v>238</v>
      </c>
      <c r="B23" s="113" t="s">
        <v>239</v>
      </c>
      <c r="C23" s="114">
        <f>C24+C25+C31+C32+C33</f>
        <v>8089647.1900000004</v>
      </c>
      <c r="D23" s="114">
        <f t="shared" ref="D23:I23" si="5">D24+D25+D31+D32+D33</f>
        <v>13450571.630000001</v>
      </c>
      <c r="E23" s="114">
        <f t="shared" si="5"/>
        <v>12098374.010000002</v>
      </c>
      <c r="F23" s="114">
        <f t="shared" si="5"/>
        <v>7912000</v>
      </c>
      <c r="G23" s="114">
        <f t="shared" si="5"/>
        <v>7911916.6926403409</v>
      </c>
      <c r="H23" s="114">
        <f t="shared" si="5"/>
        <v>8449705.6764678564</v>
      </c>
      <c r="I23" s="114">
        <f t="shared" si="5"/>
        <v>9013632.0312138386</v>
      </c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</row>
    <row r="24" spans="1:177" s="8" customFormat="1" ht="12.75">
      <c r="A24" s="115" t="s">
        <v>240</v>
      </c>
      <c r="B24" s="116" t="s">
        <v>241</v>
      </c>
      <c r="C24" s="97">
        <v>20380.98</v>
      </c>
      <c r="D24" s="97">
        <v>26239</v>
      </c>
      <c r="E24" s="117">
        <v>23305.13</v>
      </c>
      <c r="F24" s="117">
        <v>30000</v>
      </c>
      <c r="G24" s="118">
        <f>(((D24*(1+Parâmetros!B11)*(1+Parâmetros!C11)*(1+Parâmetros!D11))+(E24*(1+Parâmetros!C11)*(1+Parâmetros!D11)+(F24*(1+Parâmetros!D11))))/3)*(1+Parâmetros!E11)</f>
        <v>29895.841907923033</v>
      </c>
      <c r="H24" s="118">
        <f>G24*(1+Parâmetros!F11)</f>
        <v>31097.65475262154</v>
      </c>
      <c r="I24" s="118">
        <f>H24*(1+Parâmetros!G11)</f>
        <v>32322.902349874832</v>
      </c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</row>
    <row r="25" spans="1:177" s="55" customFormat="1">
      <c r="A25" s="112" t="s">
        <v>242</v>
      </c>
      <c r="B25" s="113" t="s">
        <v>243</v>
      </c>
      <c r="C25" s="114">
        <f t="shared" ref="C25:I25" si="6">C26+C27+C28+C29+C30</f>
        <v>8069266.21</v>
      </c>
      <c r="D25" s="114">
        <f t="shared" si="6"/>
        <v>13424281.630000001</v>
      </c>
      <c r="E25" s="114">
        <f t="shared" si="6"/>
        <v>12075068.880000001</v>
      </c>
      <c r="F25" s="114">
        <f t="shared" si="6"/>
        <v>7882000</v>
      </c>
      <c r="G25" s="114">
        <f t="shared" si="6"/>
        <v>7882000</v>
      </c>
      <c r="H25" s="114">
        <f t="shared" si="6"/>
        <v>8418585.7515200004</v>
      </c>
      <c r="I25" s="114">
        <f t="shared" si="6"/>
        <v>8981285.3701253161</v>
      </c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</row>
    <row r="26" spans="1:177" customFormat="1" ht="12.75">
      <c r="A26" s="115" t="s">
        <v>244</v>
      </c>
      <c r="B26" s="116" t="s">
        <v>245</v>
      </c>
      <c r="C26" s="97">
        <f>129882.87+86264.83</f>
        <v>216147.7</v>
      </c>
      <c r="D26" s="97">
        <f>221691.73+225583.21+10314.52</f>
        <v>457589.46</v>
      </c>
      <c r="E26" s="117">
        <f>987226.63-516792.95</f>
        <v>470433.68</v>
      </c>
      <c r="F26" s="117">
        <v>282000</v>
      </c>
      <c r="G26" s="118">
        <v>282000</v>
      </c>
      <c r="H26" s="118">
        <f>G26*(1+Parâmetros!F11)*(1+Parâmetros!F12)</f>
        <v>301197.81552</v>
      </c>
      <c r="I26" s="118">
        <f>H26*(1+Parâmetros!G11)*(1+Parâmetros!G12)</f>
        <v>321329.92570100731</v>
      </c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</row>
    <row r="27" spans="1:177" customFormat="1" ht="25.5">
      <c r="A27" s="115" t="s">
        <v>246</v>
      </c>
      <c r="B27" s="116" t="s">
        <v>247</v>
      </c>
      <c r="C27" s="97">
        <v>709796.96</v>
      </c>
      <c r="D27" s="97">
        <v>770306.78</v>
      </c>
      <c r="E27" s="117">
        <v>516792.95</v>
      </c>
      <c r="F27" s="117">
        <v>600000</v>
      </c>
      <c r="G27" s="118">
        <v>600000</v>
      </c>
      <c r="H27" s="118">
        <f>G27*(1+Parâmetros!F11)*(1+Parâmetros!F12)</f>
        <v>640846.41599999997</v>
      </c>
      <c r="I27" s="118">
        <f>H27*(1+Parâmetros!G11)*(1+Parâmetros!G12)</f>
        <v>683680.69298086665</v>
      </c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</row>
    <row r="28" spans="1:177" customFormat="1" ht="25.5">
      <c r="A28" s="115" t="s">
        <v>248</v>
      </c>
      <c r="B28" s="116" t="s">
        <v>249</v>
      </c>
      <c r="C28" s="97">
        <v>7143321.5499999998</v>
      </c>
      <c r="D28" s="97">
        <v>12196385.390000001</v>
      </c>
      <c r="E28" s="117">
        <v>11087842.25</v>
      </c>
      <c r="F28" s="117">
        <v>7000000</v>
      </c>
      <c r="G28" s="118">
        <v>7000000</v>
      </c>
      <c r="H28" s="118">
        <f>G28*(1+Parâmetros!F11)*(1+Parâmetros!F12)</f>
        <v>7476541.5199999996</v>
      </c>
      <c r="I28" s="118">
        <f>H28*(1+Parâmetros!G11)*(1+Parâmetros!G12)</f>
        <v>7976274.7514434429</v>
      </c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</row>
    <row r="29" spans="1:177" customFormat="1" ht="12.75">
      <c r="A29" s="115" t="s">
        <v>250</v>
      </c>
      <c r="B29" s="116" t="s">
        <v>251</v>
      </c>
      <c r="C29" s="117">
        <v>0</v>
      </c>
      <c r="D29" s="117">
        <v>0</v>
      </c>
      <c r="E29" s="117">
        <v>0</v>
      </c>
      <c r="F29" s="117">
        <v>0</v>
      </c>
      <c r="G29" s="118">
        <f>(((D29*(1+Parâmetros!B11)*(1+Parâmetros!C11)*(1+Parâmetros!D11))+(E29*(1+Parâmetros!C11)*(1+Parâmetros!D11)+(F29*(1+Parâmetros!D11))))/3)*(1+Parâmetros!E11)*(1+Parâmetros!E12)</f>
        <v>0</v>
      </c>
      <c r="H29" s="118">
        <f>G29*(1+Parâmetros!F11)*(1+Parâmetros!F12)</f>
        <v>0</v>
      </c>
      <c r="I29" s="118">
        <f>H29*(1+Parâmetros!G11)*(1+Parâmetros!G12)</f>
        <v>0</v>
      </c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</row>
    <row r="30" spans="1:177" customFormat="1" ht="12.75">
      <c r="A30" s="115" t="s">
        <v>252</v>
      </c>
      <c r="B30" s="116" t="s">
        <v>253</v>
      </c>
      <c r="C30" s="117">
        <v>0</v>
      </c>
      <c r="D30" s="117">
        <v>0</v>
      </c>
      <c r="E30" s="117">
        <v>0</v>
      </c>
      <c r="F30" s="117">
        <v>0</v>
      </c>
      <c r="G30" s="118">
        <f>(((D30*(1+Parâmetros!B11)*(1+Parâmetros!C11)*(1+Parâmetros!D11))+(E30*(1+Parâmetros!C11)*(1+Parâmetros!D11)+(F30*(1+Parâmetros!D11))))/3)*(1+Parâmetros!E11)*(1+Parâmetros!E12)</f>
        <v>0</v>
      </c>
      <c r="H30" s="118">
        <f>G30*(1+Parâmetros!F11)*(1+Parâmetros!F12)</f>
        <v>0</v>
      </c>
      <c r="I30" s="118">
        <f>H30*(1+Parâmetros!G11)*(1+Parâmetros!G12)</f>
        <v>0</v>
      </c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</row>
    <row r="31" spans="1:177" customFormat="1" ht="25.5">
      <c r="A31" s="115" t="s">
        <v>254</v>
      </c>
      <c r="B31" s="116" t="s">
        <v>255</v>
      </c>
      <c r="C31" s="117">
        <v>0</v>
      </c>
      <c r="D31" s="117">
        <v>0</v>
      </c>
      <c r="E31" s="117">
        <v>0</v>
      </c>
      <c r="F31" s="117">
        <v>0</v>
      </c>
      <c r="G31" s="118">
        <f>(((D31*(1+Parâmetros!B11)*(1+Parâmetros!C11)*(1+Parâmetros!D11))+(E31*(1+Parâmetros!C11)*(1+Parâmetros!D11)+(F31*(1+Parâmetros!D11))))/3)*(1+Parâmetros!E11)*(1+Parâmetros!E12)</f>
        <v>0</v>
      </c>
      <c r="H31" s="118">
        <f>G31*(1+Parâmetros!F11)*(1+Parâmetros!F12)</f>
        <v>0</v>
      </c>
      <c r="I31" s="118">
        <f>H31*(1+Parâmetros!G11)*(1+Parâmetros!G12)</f>
        <v>0</v>
      </c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</row>
    <row r="32" spans="1:177" customFormat="1" ht="12.75">
      <c r="A32" s="115" t="s">
        <v>256</v>
      </c>
      <c r="B32" s="116" t="s">
        <v>257</v>
      </c>
      <c r="C32" s="117">
        <v>0</v>
      </c>
      <c r="D32" s="117">
        <v>0</v>
      </c>
      <c r="E32" s="117">
        <v>0</v>
      </c>
      <c r="F32" s="117">
        <v>0</v>
      </c>
      <c r="G32" s="118">
        <f>(((D32*(1+Parâmetros!B11)*(1+Parâmetros!C11)*(1+Parâmetros!D11))+(E32*(1+Parâmetros!C11)*(1+Parâmetros!D11)+(F32*(1+Parâmetros!D11))))/3)*(1+Parâmetros!E11)*(1+Parâmetros!E12)</f>
        <v>0</v>
      </c>
      <c r="H32" s="118">
        <f>G32*(1+Parâmetros!F11)*(1+Parâmetros!F12)</f>
        <v>0</v>
      </c>
      <c r="I32" s="118">
        <f>H32*(1+Parâmetros!G11)*(1+Parâmetros!G12)</f>
        <v>0</v>
      </c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</row>
    <row r="33" spans="1:177" customFormat="1" ht="12.75">
      <c r="A33" s="115" t="s">
        <v>258</v>
      </c>
      <c r="B33" s="116" t="s">
        <v>259</v>
      </c>
      <c r="C33" s="97"/>
      <c r="D33" s="117">
        <v>51</v>
      </c>
      <c r="E33" s="117">
        <v>0</v>
      </c>
      <c r="F33" s="117">
        <v>0</v>
      </c>
      <c r="G33" s="118">
        <f>(((D33*(1+Parâmetros!B11)*(1+Parâmetros!C11)*(1+Parâmetros!D11))+(E33*(1+Parâmetros!C11)*(1+Parâmetros!D11)+(F33*(1+Parâmetros!D11))))/3)*(1+Parâmetros!E11)*(1+Parâmetros!E12)</f>
        <v>20.850732417483741</v>
      </c>
      <c r="H33" s="118">
        <f>G33*(1+Parâmetros!F11)*(1+Parâmetros!F12)</f>
        <v>22.270195234532451</v>
      </c>
      <c r="I33" s="118">
        <f>H33*(1+Parâmetros!G11)*(1+Parâmetros!G12)</f>
        <v>23.758738647239841</v>
      </c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</row>
    <row r="34" spans="1:177" customFormat="1" ht="12.75">
      <c r="A34" s="115" t="s">
        <v>260</v>
      </c>
      <c r="B34" s="116" t="s">
        <v>261</v>
      </c>
      <c r="C34" s="117">
        <v>0</v>
      </c>
      <c r="D34" s="117">
        <v>0</v>
      </c>
      <c r="E34" s="117">
        <v>0</v>
      </c>
      <c r="F34" s="117">
        <v>0</v>
      </c>
      <c r="G34" s="118">
        <f>(((D34*(1+Parâmetros!B11)*(1+Parâmetros!C11)*(1+Parâmetros!D11))+(E34*(1+Parâmetros!C11)*(1+Parâmetros!D11)+(F34*(1+Parâmetros!D11))))/3)*(1+Parâmetros!E11)*(1+Parâmetros!E12)</f>
        <v>0</v>
      </c>
      <c r="H34" s="118">
        <f>G34*(1+Parâmetros!F11)*(1+Parâmetros!F12)</f>
        <v>0</v>
      </c>
      <c r="I34" s="118">
        <f>H34*(1+Parâmetros!G11)*(1+Parâmetros!G12)</f>
        <v>0</v>
      </c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</row>
    <row r="35" spans="1:177" customFormat="1" ht="12.75">
      <c r="A35" s="115" t="s">
        <v>291</v>
      </c>
      <c r="B35" s="116" t="s">
        <v>292</v>
      </c>
      <c r="C35" s="117">
        <v>0</v>
      </c>
      <c r="D35" s="117">
        <v>0</v>
      </c>
      <c r="E35" s="117">
        <v>0</v>
      </c>
      <c r="F35" s="117">
        <v>0</v>
      </c>
      <c r="G35" s="118">
        <f>(((D35*(1+Parâmetros!B11)*(1+Parâmetros!C11)*(1+Parâmetros!D11))+(E35*(1+Parâmetros!C11)*(1+Parâmetros!D11)+(F35*(1+Parâmetros!D11))))/3)*(1+Parâmetros!E11)*(1+Parâmetros!E12)</f>
        <v>0</v>
      </c>
      <c r="H35" s="118">
        <f>G35*(1+Parâmetros!F11)*(1+Parâmetros!F12)</f>
        <v>0</v>
      </c>
      <c r="I35" s="118">
        <f>H35*(1+Parâmetros!G11)*(1+Parâmetros!G12)</f>
        <v>0</v>
      </c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</row>
    <row r="36" spans="1:177" s="7" customFormat="1" ht="12.75">
      <c r="A36" s="119" t="s">
        <v>523</v>
      </c>
      <c r="B36" s="120" t="s">
        <v>262</v>
      </c>
      <c r="C36" s="121">
        <f t="shared" ref="C36:I36" si="7">C37+C38</f>
        <v>24801.49</v>
      </c>
      <c r="D36" s="121">
        <f t="shared" si="7"/>
        <v>7245</v>
      </c>
      <c r="E36" s="121">
        <f t="shared" si="7"/>
        <v>19640.91</v>
      </c>
      <c r="F36" s="121">
        <f t="shared" si="7"/>
        <v>45000</v>
      </c>
      <c r="G36" s="121">
        <f t="shared" si="7"/>
        <v>27172.838204597774</v>
      </c>
      <c r="H36" s="121">
        <f t="shared" si="7"/>
        <v>29022.693293273926</v>
      </c>
      <c r="I36" s="121">
        <f t="shared" si="7"/>
        <v>30962.574756627284</v>
      </c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</row>
    <row r="37" spans="1:177" customFormat="1" ht="25.5">
      <c r="A37" s="122" t="s">
        <v>525</v>
      </c>
      <c r="B37" s="116" t="s">
        <v>526</v>
      </c>
      <c r="C37" s="117">
        <v>0</v>
      </c>
      <c r="D37" s="117">
        <v>0</v>
      </c>
      <c r="E37" s="117">
        <v>0</v>
      </c>
      <c r="F37" s="117">
        <v>0</v>
      </c>
      <c r="G37" s="114">
        <f>(((D37*(1+Parâmetros!B11)*(1+Parâmetros!C11)*(1+Parâmetros!D11))+(E37*(1+Parâmetros!C11)*(1+Parâmetros!D11)+(F37*(1+Parâmetros!D11))))/3)*(1+Parâmetros!E11)</f>
        <v>0</v>
      </c>
      <c r="H37" s="118">
        <f>G37*(1+Parâmetros!F11)</f>
        <v>0</v>
      </c>
      <c r="I37" s="118">
        <f>H37*(1+Parâmetros!G11)</f>
        <v>0</v>
      </c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</row>
    <row r="38" spans="1:177" customFormat="1" ht="12.75">
      <c r="A38" s="115" t="s">
        <v>523</v>
      </c>
      <c r="B38" s="116" t="s">
        <v>524</v>
      </c>
      <c r="C38" s="97">
        <v>24801.49</v>
      </c>
      <c r="D38" s="97">
        <v>7245</v>
      </c>
      <c r="E38" s="117">
        <v>19640.91</v>
      </c>
      <c r="F38" s="117">
        <v>45000</v>
      </c>
      <c r="G38" s="114">
        <f>(((D38*(1+Parâmetros!B11)*(1+Parâmetros!C11)*(1+Parâmetros!D11))+(E38*(1+Parâmetros!C11)*(1+Parâmetros!D11)+(F38*(1+Parâmetros!D11))))/3)*(1+Parâmetros!E11)*(1+Parâmetros!E12)</f>
        <v>27172.838204597774</v>
      </c>
      <c r="H38" s="114">
        <f>G38*(1+Parâmetros!F11)*(1+Parâmetros!F12)</f>
        <v>29022.693293273926</v>
      </c>
      <c r="I38" s="114">
        <f>H38*(1+Parâmetros!G11)*(1+Parâmetros!G12)</f>
        <v>30962.574756627284</v>
      </c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</row>
    <row r="39" spans="1:177" s="7" customFormat="1" ht="12.75">
      <c r="A39" s="112" t="s">
        <v>263</v>
      </c>
      <c r="B39" s="113" t="s">
        <v>264</v>
      </c>
      <c r="C39" s="114">
        <f t="shared" ref="C39:I39" si="8">C40+C51+C61+C62+C63+C64+C65</f>
        <v>55353686.780000001</v>
      </c>
      <c r="D39" s="114">
        <f t="shared" si="8"/>
        <v>62473582.730000004</v>
      </c>
      <c r="E39" s="114">
        <f t="shared" si="8"/>
        <v>63439467.440000005</v>
      </c>
      <c r="F39" s="114">
        <f t="shared" si="8"/>
        <v>65988000</v>
      </c>
      <c r="G39" s="114">
        <f t="shared" si="8"/>
        <v>67688122.018951163</v>
      </c>
      <c r="H39" s="114">
        <f t="shared" si="8"/>
        <v>68847233.155919671</v>
      </c>
      <c r="I39" s="114">
        <f t="shared" si="8"/>
        <v>70793771.094390348</v>
      </c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</row>
    <row r="40" spans="1:177" s="7" customFormat="1" ht="12.75">
      <c r="A40" s="112" t="s">
        <v>265</v>
      </c>
      <c r="B40" s="113" t="s">
        <v>266</v>
      </c>
      <c r="C40" s="114">
        <f t="shared" ref="C40:I40" si="9">C41+C42+C43+C44+C45+C46+C47+C48+C49+C50</f>
        <v>22166444</v>
      </c>
      <c r="D40" s="114">
        <f t="shared" si="9"/>
        <v>25394200.420000002</v>
      </c>
      <c r="E40" s="114">
        <f t="shared" si="9"/>
        <v>24728457.560000006</v>
      </c>
      <c r="F40" s="114">
        <f t="shared" si="9"/>
        <v>24801000</v>
      </c>
      <c r="G40" s="114">
        <f t="shared" si="9"/>
        <v>25524694.980573021</v>
      </c>
      <c r="H40" s="114">
        <f t="shared" si="9"/>
        <v>25814891.702080928</v>
      </c>
      <c r="I40" s="114">
        <f t="shared" si="9"/>
        <v>26369433.556377284</v>
      </c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</row>
    <row r="41" spans="1:177" customFormat="1" ht="25.5">
      <c r="A41" s="115" t="s">
        <v>267</v>
      </c>
      <c r="B41" s="116" t="s">
        <v>268</v>
      </c>
      <c r="C41" s="97">
        <v>16942145.620000001</v>
      </c>
      <c r="D41" s="97">
        <v>19366981.07</v>
      </c>
      <c r="E41" s="117">
        <v>18450651.550000001</v>
      </c>
      <c r="F41" s="117">
        <v>18700000</v>
      </c>
      <c r="G41" s="118">
        <v>19000000</v>
      </c>
      <c r="H41" s="118">
        <f>G41*(1+Parâmetros!F11)*(1+Parâmetros!F16)</f>
        <v>19105553.893619414</v>
      </c>
      <c r="I41" s="118">
        <f>H41*(1+Parâmetros!G11)*(1+Parâmetros!G16)</f>
        <v>19444556.529358085</v>
      </c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</row>
    <row r="42" spans="1:177" customFormat="1" ht="25.5">
      <c r="A42" s="115" t="s">
        <v>269</v>
      </c>
      <c r="B42" s="116" t="s">
        <v>270</v>
      </c>
      <c r="C42" s="97"/>
      <c r="D42" s="97">
        <v>729250.67</v>
      </c>
      <c r="E42" s="117">
        <f>1666508.64/2</f>
        <v>833254.32</v>
      </c>
      <c r="F42" s="117">
        <v>881000</v>
      </c>
      <c r="G42" s="118">
        <f>(((D42*(1+Parâmetros!B11)*(1+Parâmetros!C11)*(1+Parâmetros!D11))+(E42*(1+Parâmetros!C11)*(1+Parâmetros!D11)+(F42*(1+Parâmetros!D11))))/3)*(1+Parâmetros!E11)*(1+Parâmetros!E16)</f>
        <v>921444.16567618249</v>
      </c>
      <c r="H42" s="118">
        <f>G42*(1+Parâmetros!F11)*(1+Parâmetros!F16)</f>
        <v>926563.21933092026</v>
      </c>
      <c r="I42" s="118">
        <f>H42*(1+Parâmetros!G11)*(1+Parâmetros!G16)</f>
        <v>943003.85095461737</v>
      </c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</row>
    <row r="43" spans="1:177" customFormat="1" ht="25.5">
      <c r="A43" s="115" t="s">
        <v>271</v>
      </c>
      <c r="B43" s="116" t="s">
        <v>272</v>
      </c>
      <c r="C43" s="97">
        <v>943420.72</v>
      </c>
      <c r="D43" s="97">
        <v>700000</v>
      </c>
      <c r="E43" s="117">
        <v>833254.32</v>
      </c>
      <c r="F43" s="117">
        <v>872000</v>
      </c>
      <c r="G43" s="118">
        <f>(((D43*(1+Parâmetros!B11)*(1+Parâmetros!C11)*(1+Parâmetros!D11))+(E43*(1+Parâmetros!C11)*(1+Parâmetros!D11)+(F43*(1+Parâmetros!D11))))/3)*(1+Parâmetros!E11)*(1+Parâmetros!E16)</f>
        <v>906531.1992531541</v>
      </c>
      <c r="H43" s="118">
        <f>G43*(1+Parâmetros!F11)*(1+Parâmetros!F16)</f>
        <v>911567.40439887252</v>
      </c>
      <c r="I43" s="118">
        <f>H43*(1+Parâmetros!G11)*(1+Parâmetros!G16)</f>
        <v>927741.95523709129</v>
      </c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</row>
    <row r="44" spans="1:177" customFormat="1" ht="12.75">
      <c r="A44" s="115" t="s">
        <v>273</v>
      </c>
      <c r="B44" s="116" t="s">
        <v>274</v>
      </c>
      <c r="C44" s="97">
        <v>36634.550000000003</v>
      </c>
      <c r="D44" s="97">
        <v>0</v>
      </c>
      <c r="E44" s="117">
        <v>0</v>
      </c>
      <c r="F44" s="117">
        <v>1000</v>
      </c>
      <c r="G44" s="118">
        <f>(((D44*(1+Parâmetros!B11)*(1+Parâmetros!C11)*(1+Parâmetros!D11))+(E44*(1+Parâmetros!C11)*(1+Parâmetros!D11)+(F44*(1+Parâmetros!D11))))/3)*(1+Parâmetros!E11)*(1+Parâmetros!E16)</f>
        <v>361.00760374279855</v>
      </c>
      <c r="H44" s="118">
        <f>G44*(1+Parâmetros!F11)*(1+Parâmetros!F16)</f>
        <v>363.0131699639179</v>
      </c>
      <c r="I44" s="118">
        <f>H44*(1+Parâmetros!G11)*(1+Parâmetros!G16)</f>
        <v>369.45435571078684</v>
      </c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/>
      <c r="FQ44" s="54"/>
      <c r="FR44" s="54"/>
      <c r="FS44" s="54"/>
      <c r="FT44" s="54"/>
      <c r="FU44" s="54"/>
    </row>
    <row r="45" spans="1:177" customFormat="1" ht="25.5">
      <c r="A45" s="115" t="s">
        <v>275</v>
      </c>
      <c r="B45" s="116" t="s">
        <v>276</v>
      </c>
      <c r="C45" s="97">
        <v>432701.04</v>
      </c>
      <c r="D45" s="97">
        <v>376099.13</v>
      </c>
      <c r="E45" s="117">
        <v>347561.39</v>
      </c>
      <c r="F45" s="117">
        <v>280000</v>
      </c>
      <c r="G45" s="118">
        <v>300000</v>
      </c>
      <c r="H45" s="118">
        <f>G45*(1+Parâmetros!F11)*(1+Parâmetros!F16)</f>
        <v>301666.64042556973</v>
      </c>
      <c r="I45" s="118">
        <f>H45*(1+Parâmetros!G11)*(1+Parâmetros!G16)</f>
        <v>307019.31362144346</v>
      </c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</row>
    <row r="46" spans="1:177" customFormat="1" ht="25.5">
      <c r="A46" s="115" t="s">
        <v>277</v>
      </c>
      <c r="B46" s="116" t="s">
        <v>278</v>
      </c>
      <c r="C46" s="97">
        <v>1732956.12</v>
      </c>
      <c r="D46" s="97">
        <v>2023067.89</v>
      </c>
      <c r="E46" s="117">
        <v>1986715.57</v>
      </c>
      <c r="F46" s="117">
        <v>1916000</v>
      </c>
      <c r="G46" s="118">
        <v>1900000</v>
      </c>
      <c r="H46" s="118">
        <f>G46*(1+Parâmetros!F11)</f>
        <v>1976380</v>
      </c>
      <c r="I46" s="118">
        <f>H46*(1+Parâmetros!G11)</f>
        <v>2054249.3720000002</v>
      </c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/>
      <c r="FQ46" s="54"/>
      <c r="FR46" s="54"/>
      <c r="FS46" s="54"/>
      <c r="FT46" s="54"/>
      <c r="FU46" s="54"/>
    </row>
    <row r="47" spans="1:177" customFormat="1" ht="25.5">
      <c r="A47" s="115" t="s">
        <v>279</v>
      </c>
      <c r="B47" s="116" t="s">
        <v>280</v>
      </c>
      <c r="C47" s="97">
        <v>183873.88</v>
      </c>
      <c r="D47" s="97">
        <v>205298.76</v>
      </c>
      <c r="E47" s="117">
        <v>266000.48</v>
      </c>
      <c r="F47" s="117">
        <v>151000</v>
      </c>
      <c r="G47" s="118">
        <f>(((D47*(1+Parâmetros!B11)*(1+Parâmetros!C11)*(1+Parâmetros!D11))+(E47*(1+Parâmetros!C11)*(1+Parâmetros!D11)+(F47*(1+Parâmetros!D11))))/3)*(1+Parâmetros!E11)</f>
        <v>235064.22597227464</v>
      </c>
      <c r="H47" s="118">
        <f>G47*(1+Parâmetros!F11)</f>
        <v>244513.80785636007</v>
      </c>
      <c r="I47" s="118">
        <f>H47*(1+Parâmetros!G11)</f>
        <v>254147.65188590068</v>
      </c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/>
      <c r="FQ47" s="54"/>
      <c r="FR47" s="54"/>
      <c r="FS47" s="54"/>
      <c r="FT47" s="54"/>
      <c r="FU47" s="54"/>
    </row>
    <row r="48" spans="1:177" customFormat="1" ht="25.5">
      <c r="A48" s="115" t="s">
        <v>281</v>
      </c>
      <c r="B48" s="116" t="s">
        <v>282</v>
      </c>
      <c r="C48" s="97">
        <v>1709154.07</v>
      </c>
      <c r="D48" s="97">
        <f>370544+1346097+0.27</f>
        <v>1716641.27</v>
      </c>
      <c r="E48" s="117">
        <v>1910977.01</v>
      </c>
      <c r="F48" s="117">
        <v>1900000</v>
      </c>
      <c r="G48" s="118">
        <f>(((D48*(1+Parâmetros!B11)*(1+Parâmetros!C11)*(1+Parâmetros!D11))+(E48*(1+Parâmetros!C11)*(1+Parâmetros!D11)+(F48*(1+Parâmetros!D11))))/3)*(1+Parâmetros!E11)</f>
        <v>2077593.4755607434</v>
      </c>
      <c r="H48" s="118">
        <f>G48*(1+Parâmetros!F11)</f>
        <v>2161112.7332782852</v>
      </c>
      <c r="I48" s="118">
        <f>H48*(1+Parâmetros!G11)</f>
        <v>2246260.57496945</v>
      </c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/>
      <c r="FQ48" s="54"/>
      <c r="FR48" s="54"/>
      <c r="FS48" s="54"/>
      <c r="FT48" s="54"/>
      <c r="FU48" s="54"/>
    </row>
    <row r="49" spans="1:177" customFormat="1" ht="12.75">
      <c r="A49" s="115" t="s">
        <v>283</v>
      </c>
      <c r="B49" s="116" t="s">
        <v>284</v>
      </c>
      <c r="C49" s="97">
        <v>101639.28</v>
      </c>
      <c r="D49" s="97">
        <v>98714.880000000005</v>
      </c>
      <c r="E49" s="117">
        <v>100042.92</v>
      </c>
      <c r="F49" s="117">
        <v>100000</v>
      </c>
      <c r="G49" s="118">
        <f>(((D49*(1+Parâmetros!B11)*(1+Parâmetros!C11)*(1+Parâmetros!D11))+(E49*(1+Parâmetros!C11)*(1+Parâmetros!D11)+(F49*(1+Parâmetros!D11))))/3)*(1+Parâmetros!E11)*(1+Parâmetros!E16)</f>
        <v>112995.98322145388</v>
      </c>
      <c r="H49" s="118">
        <f>G49*(1+Parâmetros!F11)*(1+Parâmetros!F16)</f>
        <v>113623.72880000013</v>
      </c>
      <c r="I49" s="118">
        <f>H49*(1+Parâmetros!G11)*(1+Parâmetros!G16)</f>
        <v>115639.83070210305</v>
      </c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/>
      <c r="FQ49" s="54"/>
      <c r="FR49" s="54"/>
      <c r="FS49" s="54"/>
      <c r="FT49" s="54"/>
      <c r="FU49" s="54"/>
    </row>
    <row r="50" spans="1:177" customFormat="1" ht="12.75">
      <c r="A50" s="115" t="s">
        <v>285</v>
      </c>
      <c r="B50" s="116" t="s">
        <v>286</v>
      </c>
      <c r="C50" s="97">
        <v>83918.720000000001</v>
      </c>
      <c r="D50" s="97">
        <f>178146.75</f>
        <v>178146.75</v>
      </c>
      <c r="E50" s="117">
        <v>0</v>
      </c>
      <c r="F50" s="117">
        <v>0</v>
      </c>
      <c r="G50" s="118">
        <f>(((D50*(1+Parâmetros!B11)*(1+Parâmetros!C11)*(1+Parâmetros!D11))+(E50*(1+Parâmetros!C11)*(1+Parâmetros!D11)+(F50*(1+Parâmetros!D11))))/3)*(1+Parâmetros!E11)</f>
        <v>70704.923285467667</v>
      </c>
      <c r="H50" s="118">
        <f>G50*(1+Parâmetros!F11)</f>
        <v>73547.261201543472</v>
      </c>
      <c r="I50" s="118">
        <f>H50*(1+Parâmetros!G11)</f>
        <v>76445.023292884289</v>
      </c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/>
      <c r="FF50" s="54"/>
      <c r="FG50" s="54"/>
      <c r="FH50" s="54"/>
      <c r="FI50" s="54"/>
      <c r="FJ50" s="54"/>
      <c r="FK50" s="54"/>
      <c r="FL50" s="54"/>
      <c r="FM50" s="54"/>
      <c r="FN50" s="54"/>
      <c r="FO50" s="54"/>
      <c r="FP50" s="54"/>
      <c r="FQ50" s="54"/>
      <c r="FR50" s="54"/>
      <c r="FS50" s="54"/>
      <c r="FT50" s="54"/>
      <c r="FU50" s="54"/>
    </row>
    <row r="51" spans="1:177" s="7" customFormat="1" ht="25.5">
      <c r="A51" s="112" t="s">
        <v>287</v>
      </c>
      <c r="B51" s="113" t="s">
        <v>288</v>
      </c>
      <c r="C51" s="114">
        <f t="shared" ref="C51:I51" si="10">C52+C53+C54+C55+C56+C57+C58+C59+C60</f>
        <v>19709028.350000001</v>
      </c>
      <c r="D51" s="114">
        <f t="shared" si="10"/>
        <v>21428064.559999999</v>
      </c>
      <c r="E51" s="114">
        <f t="shared" si="10"/>
        <v>21444099.629999999</v>
      </c>
      <c r="F51" s="114">
        <f t="shared" si="10"/>
        <v>23287000</v>
      </c>
      <c r="G51" s="114">
        <f t="shared" si="10"/>
        <v>24163427.038378146</v>
      </c>
      <c r="H51" s="114">
        <f t="shared" si="10"/>
        <v>24932343.028304558</v>
      </c>
      <c r="I51" s="114">
        <f t="shared" si="10"/>
        <v>26003178.720726456</v>
      </c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</row>
    <row r="52" spans="1:177" customFormat="1" ht="12.75">
      <c r="A52" s="115" t="s">
        <v>289</v>
      </c>
      <c r="B52" s="116" t="s">
        <v>290</v>
      </c>
      <c r="C52" s="97">
        <v>14088654.33</v>
      </c>
      <c r="D52" s="97">
        <v>15178940.470000001</v>
      </c>
      <c r="E52" s="117">
        <v>16139960.4</v>
      </c>
      <c r="F52" s="117">
        <v>17000000</v>
      </c>
      <c r="G52" s="118">
        <v>17500000</v>
      </c>
      <c r="H52" s="118">
        <f>G52*(1+Parâmetros!F11)*(1+Parâmetros!F17)</f>
        <v>18052439.332550194</v>
      </c>
      <c r="I52" s="118">
        <f>H52*(1+Parâmetros!G11)*(1+Parâmetros!G17)</f>
        <v>18829740.649365067</v>
      </c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J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/>
      <c r="FF52" s="54"/>
      <c r="FG52" s="54"/>
      <c r="FH52" s="54"/>
      <c r="FI52" s="54"/>
      <c r="FJ52" s="54"/>
      <c r="FK52" s="54"/>
      <c r="FL52" s="54"/>
      <c r="FM52" s="54"/>
      <c r="FN52" s="54"/>
      <c r="FO52" s="54"/>
      <c r="FP52" s="54"/>
      <c r="FQ52" s="54"/>
      <c r="FR52" s="54"/>
      <c r="FS52" s="54"/>
      <c r="FT52" s="54"/>
      <c r="FU52" s="54"/>
    </row>
    <row r="53" spans="1:177" customFormat="1" ht="12.75">
      <c r="A53" s="115" t="s">
        <v>293</v>
      </c>
      <c r="B53" s="116" t="s">
        <v>294</v>
      </c>
      <c r="C53" s="97">
        <v>4680225.1900000004</v>
      </c>
      <c r="D53" s="97">
        <v>5457975.5700000003</v>
      </c>
      <c r="E53" s="117">
        <v>4346780.28</v>
      </c>
      <c r="F53" s="117">
        <v>5000000</v>
      </c>
      <c r="G53" s="118">
        <f>(((D53*(1+Parâmetros!B11)*(1+Parâmetros!C11)*(1+Parâmetros!D11))+(E53*(1+Parâmetros!C11)*(1+Parâmetros!D11)+(F53*(1+Parâmetros!D11))))/3)*(1+Parâmetros!E11)*(1+Parâmetros!E17)</f>
        <v>5635396.4871582845</v>
      </c>
      <c r="H53" s="118">
        <f>G53*(1+Parâmetros!F11)*(1+Parâmetros!F17)</f>
        <v>5813294.4685309371</v>
      </c>
      <c r="I53" s="118">
        <f>H53*(1+Parâmetros!G11)*(1+Parâmetros!G17)</f>
        <v>6063603.1034019124</v>
      </c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J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4"/>
      <c r="FF53" s="54"/>
      <c r="FG53" s="54"/>
      <c r="FH53" s="54"/>
      <c r="FI53" s="54"/>
      <c r="FJ53" s="54"/>
      <c r="FK53" s="54"/>
      <c r="FL53" s="54"/>
      <c r="FM53" s="54"/>
      <c r="FN53" s="54"/>
      <c r="FO53" s="54"/>
      <c r="FP53" s="54"/>
      <c r="FQ53" s="54"/>
      <c r="FR53" s="54"/>
      <c r="FS53" s="54"/>
      <c r="FT53" s="54"/>
      <c r="FU53" s="54"/>
    </row>
    <row r="54" spans="1:177" customFormat="1" ht="12.75">
      <c r="A54" s="115" t="s">
        <v>295</v>
      </c>
      <c r="B54" s="116" t="s">
        <v>296</v>
      </c>
      <c r="C54" s="97">
        <v>272449.91999999998</v>
      </c>
      <c r="D54" s="97">
        <v>189891.99</v>
      </c>
      <c r="E54" s="117">
        <v>244150.67</v>
      </c>
      <c r="F54" s="117">
        <v>230000</v>
      </c>
      <c r="G54" s="118">
        <f>(((D54*(1+Parâmetros!B11)*(1+Parâmetros!C11)*(1+Parâmetros!D11))+(E54*(1+Parâmetros!C11)*(1+Parâmetros!D11)+(F54*(1+Parâmetros!D11))))/3)*(1+Parâmetros!E11)*(1+Parâmetros!E17)</f>
        <v>251383.59816933342</v>
      </c>
      <c r="H54" s="118">
        <f>G54*(1+Parâmetros!F11)*(1+Parâmetros!F17)</f>
        <v>259319.2660085753</v>
      </c>
      <c r="I54" s="118">
        <f>H54*(1+Parâmetros!G11)*(1+Parâmetros!G17)</f>
        <v>270485.02611615724</v>
      </c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J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/>
      <c r="FF54" s="54"/>
      <c r="FG54" s="54"/>
      <c r="FH54" s="54"/>
      <c r="FI54" s="54"/>
      <c r="FJ54" s="54"/>
      <c r="FK54" s="54"/>
      <c r="FL54" s="54"/>
      <c r="FM54" s="54"/>
      <c r="FN54" s="54"/>
      <c r="FO54" s="54"/>
      <c r="FP54" s="54"/>
      <c r="FQ54" s="54"/>
      <c r="FR54" s="54"/>
      <c r="FS54" s="54"/>
      <c r="FT54" s="54"/>
      <c r="FU54" s="54"/>
    </row>
    <row r="55" spans="1:177" customFormat="1" ht="12.75">
      <c r="A55" s="115" t="s">
        <v>297</v>
      </c>
      <c r="B55" s="116" t="s">
        <v>298</v>
      </c>
      <c r="C55" s="97">
        <v>29360.04</v>
      </c>
      <c r="D55" s="97">
        <v>50725.46</v>
      </c>
      <c r="E55" s="117">
        <v>70968.33</v>
      </c>
      <c r="F55" s="117">
        <v>55000</v>
      </c>
      <c r="G55" s="118">
        <f>(((D55*(1+Parâmetros!B11)*(1+Parâmetros!C11)*(1+Parâmetros!D11))+(E55*(1+Parâmetros!C11)*(1+Parâmetros!D11)+(F55*(1+Parâmetros!D11))))/3)*(1+Parâmetros!E11)*(1+Parâmetros!E17)</f>
        <v>66982.946429853255</v>
      </c>
      <c r="H55" s="118">
        <f>G55*(1+Parâmetros!F11)*(1+Parâmetros!F17)</f>
        <v>69097.461528022017</v>
      </c>
      <c r="I55" s="118">
        <f>H55*(1+Parâmetros!G11)*(1+Parâmetros!G17)</f>
        <v>72072.657668825734</v>
      </c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/>
      <c r="DZ55" s="54"/>
      <c r="EA55" s="54"/>
      <c r="EB55" s="54"/>
      <c r="EC55" s="54"/>
      <c r="ED55" s="54"/>
      <c r="EE55" s="54"/>
      <c r="EF55" s="54"/>
      <c r="EG55" s="54"/>
      <c r="EH55" s="54"/>
      <c r="EI55" s="54"/>
      <c r="EJ55" s="54"/>
      <c r="EK55" s="54"/>
      <c r="EL55" s="54"/>
      <c r="EM55" s="54"/>
      <c r="EN55" s="54"/>
      <c r="EO55" s="54"/>
      <c r="EP55" s="54"/>
      <c r="EQ55" s="54"/>
      <c r="ER55" s="54"/>
      <c r="ES55" s="54"/>
      <c r="ET55" s="54"/>
      <c r="EU55" s="54"/>
      <c r="EV55" s="54"/>
      <c r="EW55" s="54"/>
      <c r="EX55" s="54"/>
      <c r="EY55" s="54"/>
      <c r="EZ55" s="54"/>
      <c r="FA55" s="54"/>
      <c r="FB55" s="54"/>
      <c r="FC55" s="54"/>
      <c r="FD55" s="54"/>
      <c r="FE55" s="54"/>
      <c r="FF55" s="54"/>
      <c r="FG55" s="54"/>
      <c r="FH55" s="54"/>
      <c r="FI55" s="54"/>
      <c r="FJ55" s="54"/>
      <c r="FK55" s="54"/>
      <c r="FL55" s="54"/>
      <c r="FM55" s="54"/>
      <c r="FN55" s="54"/>
      <c r="FO55" s="54"/>
      <c r="FP55" s="54"/>
      <c r="FQ55" s="54"/>
      <c r="FR55" s="54"/>
      <c r="FS55" s="54"/>
      <c r="FT55" s="54"/>
      <c r="FU55" s="54"/>
    </row>
    <row r="56" spans="1:177" customFormat="1" ht="12.75">
      <c r="A56" s="115" t="s">
        <v>299</v>
      </c>
      <c r="B56" s="116" t="s">
        <v>300</v>
      </c>
      <c r="C56" s="97"/>
      <c r="D56" s="97"/>
      <c r="E56" s="117">
        <v>0</v>
      </c>
      <c r="F56" s="117">
        <v>0</v>
      </c>
      <c r="G56" s="118">
        <f>(((D56*(1+Parâmetros!B11)*(1+Parâmetros!C11)*(1+Parâmetros!D11))+(E56*(1+Parâmetros!C11)*(1+Parâmetros!D11)+(F56*(1+Parâmetros!D11))))/3)*(1+Parâmetros!E11)</f>
        <v>0</v>
      </c>
      <c r="H56" s="118">
        <f>G56*(1+Parâmetros!F11)</f>
        <v>0</v>
      </c>
      <c r="I56" s="118">
        <f>H56*(1+Parâmetros!G11)</f>
        <v>0</v>
      </c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/>
      <c r="DZ56" s="54"/>
      <c r="EA56" s="54"/>
      <c r="EB56" s="54"/>
      <c r="EC56" s="54"/>
      <c r="ED56" s="54"/>
      <c r="EE56" s="54"/>
      <c r="EF56" s="54"/>
      <c r="EG56" s="54"/>
      <c r="EH56" s="54"/>
      <c r="EI56" s="54"/>
      <c r="EJ56" s="54"/>
      <c r="EK56" s="54"/>
      <c r="EL56" s="54"/>
      <c r="EM56" s="54"/>
      <c r="EN56" s="54"/>
      <c r="EO56" s="54"/>
      <c r="EP56" s="54"/>
      <c r="EQ56" s="54"/>
      <c r="ER56" s="54"/>
      <c r="ES56" s="54"/>
      <c r="ET56" s="54"/>
      <c r="EU56" s="54"/>
      <c r="EV56" s="54"/>
      <c r="EW56" s="54"/>
      <c r="EX56" s="54"/>
      <c r="EY56" s="54"/>
      <c r="EZ56" s="54"/>
      <c r="FA56" s="54"/>
      <c r="FB56" s="54"/>
      <c r="FC56" s="54"/>
      <c r="FD56" s="54"/>
      <c r="FE56" s="54"/>
      <c r="FF56" s="54"/>
      <c r="FG56" s="54"/>
      <c r="FH56" s="54"/>
      <c r="FI56" s="54"/>
      <c r="FJ56" s="54"/>
      <c r="FK56" s="54"/>
      <c r="FL56" s="54"/>
      <c r="FM56" s="54"/>
      <c r="FN56" s="54"/>
      <c r="FO56" s="54"/>
      <c r="FP56" s="54"/>
      <c r="FQ56" s="54"/>
      <c r="FR56" s="54"/>
      <c r="FS56" s="54"/>
      <c r="FT56" s="54"/>
      <c r="FU56" s="54"/>
    </row>
    <row r="57" spans="1:177" customFormat="1" ht="12.75">
      <c r="A57" s="115" t="s">
        <v>301</v>
      </c>
      <c r="B57" s="116" t="s">
        <v>302</v>
      </c>
      <c r="C57" s="117">
        <v>61939.69</v>
      </c>
      <c r="D57" s="117">
        <v>50625.21</v>
      </c>
      <c r="E57" s="117">
        <v>21677.17</v>
      </c>
      <c r="F57" s="117">
        <v>0</v>
      </c>
      <c r="G57" s="118">
        <f>(((D57*(1+Parâmetros!B11)*(1+Parâmetros!C11)*(1+Parâmetros!D11))+(E57*(1+Parâmetros!C11)*(1+Parâmetros!D11)+(F57*(1+Parâmetros!D11))))/3)*(1+Parâmetros!E11)</f>
        <v>28187.062435827022</v>
      </c>
      <c r="H57" s="118">
        <f>G57*(1+Parâmetros!F11)</f>
        <v>29320.182345747267</v>
      </c>
      <c r="I57" s="118">
        <f>H57*(1+Parâmetros!G11)</f>
        <v>30475.397530169714</v>
      </c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/>
      <c r="DY57" s="54"/>
      <c r="DZ57" s="54"/>
      <c r="EA57" s="54"/>
      <c r="EB57" s="54"/>
      <c r="EC57" s="54"/>
      <c r="ED57" s="54"/>
      <c r="EE57" s="54"/>
      <c r="EF57" s="54"/>
      <c r="EG57" s="54"/>
      <c r="EH57" s="54"/>
      <c r="EI57" s="54"/>
      <c r="EJ57" s="54"/>
      <c r="EK57" s="54"/>
      <c r="EL57" s="54"/>
      <c r="EM57" s="54"/>
      <c r="EN57" s="54"/>
      <c r="EO57" s="54"/>
      <c r="EP57" s="54"/>
      <c r="EQ57" s="54"/>
      <c r="ER57" s="54"/>
      <c r="ES57" s="54"/>
      <c r="ET57" s="54"/>
      <c r="EU57" s="54"/>
      <c r="EV57" s="54"/>
      <c r="EW57" s="54"/>
      <c r="EX57" s="54"/>
      <c r="EY57" s="54"/>
      <c r="EZ57" s="54"/>
      <c r="FA57" s="54"/>
      <c r="FB57" s="54"/>
      <c r="FC57" s="54"/>
      <c r="FD57" s="54"/>
      <c r="FE57" s="54"/>
      <c r="FF57" s="54"/>
      <c r="FG57" s="54"/>
      <c r="FH57" s="54"/>
      <c r="FI57" s="54"/>
      <c r="FJ57" s="54"/>
      <c r="FK57" s="54"/>
      <c r="FL57" s="54"/>
      <c r="FM57" s="54"/>
      <c r="FN57" s="54"/>
      <c r="FO57" s="54"/>
      <c r="FP57" s="54"/>
      <c r="FQ57" s="54"/>
      <c r="FR57" s="54"/>
      <c r="FS57" s="54"/>
      <c r="FT57" s="54"/>
      <c r="FU57" s="54"/>
    </row>
    <row r="58" spans="1:177" customFormat="1" ht="25.5">
      <c r="A58" s="115" t="s">
        <v>303</v>
      </c>
      <c r="B58" s="116" t="s">
        <v>304</v>
      </c>
      <c r="C58" s="97">
        <v>410181.45</v>
      </c>
      <c r="D58" s="97">
        <v>378256.99</v>
      </c>
      <c r="E58" s="117">
        <v>448614.33</v>
      </c>
      <c r="F58" s="117">
        <v>810000</v>
      </c>
      <c r="G58" s="118">
        <v>500000</v>
      </c>
      <c r="H58" s="118">
        <f>G58*(1+Parâmetros!F11)</f>
        <v>520100</v>
      </c>
      <c r="I58" s="118">
        <f>H58*(1+Parâmetros!G11)</f>
        <v>540591.94000000006</v>
      </c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  <c r="DZ58" s="54"/>
      <c r="EA58" s="54"/>
      <c r="EB58" s="54"/>
      <c r="EC58" s="54"/>
      <c r="ED58" s="54"/>
      <c r="EE58" s="54"/>
      <c r="EF58" s="54"/>
      <c r="EG58" s="54"/>
      <c r="EH58" s="54"/>
      <c r="EI58" s="54"/>
      <c r="EJ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4"/>
      <c r="FF58" s="54"/>
      <c r="FG58" s="54"/>
      <c r="FH58" s="54"/>
      <c r="FI58" s="54"/>
      <c r="FJ58" s="54"/>
      <c r="FK58" s="54"/>
      <c r="FL58" s="54"/>
      <c r="FM58" s="54"/>
      <c r="FN58" s="54"/>
      <c r="FO58" s="54"/>
      <c r="FP58" s="54"/>
      <c r="FQ58" s="54"/>
      <c r="FR58" s="54"/>
      <c r="FS58" s="54"/>
      <c r="FT58" s="54"/>
      <c r="FU58" s="54"/>
    </row>
    <row r="59" spans="1:177" customFormat="1" ht="25.5">
      <c r="A59" s="115" t="s">
        <v>305</v>
      </c>
      <c r="B59" s="116" t="s">
        <v>306</v>
      </c>
      <c r="C59" s="98">
        <v>166217.73000000001</v>
      </c>
      <c r="D59" s="97">
        <v>121648.87</v>
      </c>
      <c r="E59" s="117">
        <v>171948.45</v>
      </c>
      <c r="F59" s="117">
        <v>172000</v>
      </c>
      <c r="G59" s="118">
        <f>(((D59*(1+Parâmetros!B11)*(1+Parâmetros!C11)*(1+Parâmetros!D11))+(E59*(1+Parâmetros!C11)*(1+Parâmetros!D11)+(F59*(1+Parâmetros!D11))))/3)*(1+Parâmetros!E11)</f>
        <v>174290.56378484934</v>
      </c>
      <c r="H59" s="118">
        <f>G59*(1+Parâmetros!F11)</f>
        <v>181297.04444900027</v>
      </c>
      <c r="I59" s="118">
        <f>H59*(1+Parâmetros!G11)</f>
        <v>188440.14800029091</v>
      </c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/>
      <c r="DW59" s="54"/>
      <c r="DX59" s="54"/>
      <c r="DY59" s="54"/>
      <c r="DZ59" s="54"/>
      <c r="EA59" s="54"/>
      <c r="EB59" s="54"/>
      <c r="EC59" s="54"/>
      <c r="ED59" s="54"/>
      <c r="EE59" s="54"/>
      <c r="EF59" s="54"/>
      <c r="EG59" s="54"/>
      <c r="EH59" s="54"/>
      <c r="EI59" s="54"/>
      <c r="EJ59" s="54"/>
      <c r="EK59" s="54"/>
      <c r="EL59" s="54"/>
      <c r="EM59" s="54"/>
      <c r="EN59" s="54"/>
      <c r="EO59" s="54"/>
      <c r="EP59" s="54"/>
      <c r="EQ59" s="54"/>
      <c r="ER59" s="54"/>
      <c r="ES59" s="54"/>
      <c r="ET59" s="54"/>
      <c r="EU59" s="54"/>
      <c r="EV59" s="54"/>
      <c r="EW59" s="54"/>
      <c r="EX59" s="54"/>
      <c r="EY59" s="54"/>
      <c r="EZ59" s="54"/>
      <c r="FA59" s="54"/>
      <c r="FB59" s="54"/>
      <c r="FC59" s="54"/>
      <c r="FD59" s="54"/>
      <c r="FE59" s="54"/>
      <c r="FF59" s="54"/>
      <c r="FG59" s="54"/>
      <c r="FH59" s="54"/>
      <c r="FI59" s="54"/>
      <c r="FJ59" s="54"/>
      <c r="FK59" s="54"/>
      <c r="FL59" s="54"/>
      <c r="FM59" s="54"/>
      <c r="FN59" s="54"/>
      <c r="FO59" s="54"/>
      <c r="FP59" s="54"/>
      <c r="FQ59" s="54"/>
      <c r="FR59" s="54"/>
      <c r="FS59" s="54"/>
      <c r="FT59" s="54"/>
      <c r="FU59" s="54"/>
    </row>
    <row r="60" spans="1:177" customFormat="1" ht="12.75">
      <c r="A60" s="115" t="s">
        <v>307</v>
      </c>
      <c r="B60" s="116" t="s">
        <v>302</v>
      </c>
      <c r="C60" s="117">
        <v>0</v>
      </c>
      <c r="D60" s="117">
        <v>0</v>
      </c>
      <c r="E60" s="117">
        <v>0</v>
      </c>
      <c r="F60" s="117">
        <v>20000</v>
      </c>
      <c r="G60" s="118">
        <f>(((D60*(1+Parâmetros!B11)*(1+Parâmetros!C11)*(1+Parâmetros!D11))+(E60*(1+Parâmetros!C11)*(1+Parâmetros!D11)+(F60*(1+Parâmetros!D11))))/3)*(1+Parâmetros!E11)</f>
        <v>7186.3803999999991</v>
      </c>
      <c r="H60" s="118">
        <f>G60*(1+Parâmetros!F11)</f>
        <v>7475.2728920799991</v>
      </c>
      <c r="I60" s="118">
        <f>H60*(1+Parâmetros!G11)</f>
        <v>7769.7986440279519</v>
      </c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/>
      <c r="DW60" s="54"/>
      <c r="DX60" s="54"/>
      <c r="DY60" s="54"/>
      <c r="DZ60" s="54"/>
      <c r="EA60" s="54"/>
      <c r="EB60" s="54"/>
      <c r="EC60" s="54"/>
      <c r="ED60" s="54"/>
      <c r="EE60" s="54"/>
      <c r="EF60" s="54"/>
      <c r="EG60" s="54"/>
      <c r="EH60" s="54"/>
      <c r="EI60" s="54"/>
      <c r="EJ60" s="54"/>
      <c r="EK60" s="54"/>
      <c r="EL60" s="54"/>
      <c r="EM60" s="54"/>
      <c r="EN60" s="54"/>
      <c r="EO60" s="54"/>
      <c r="EP60" s="54"/>
      <c r="EQ60" s="54"/>
      <c r="ER60" s="54"/>
      <c r="ES60" s="54"/>
      <c r="ET60" s="54"/>
      <c r="EU60" s="54"/>
      <c r="EV60" s="54"/>
      <c r="EW60" s="54"/>
      <c r="EX60" s="54"/>
      <c r="EY60" s="54"/>
      <c r="EZ60" s="54"/>
      <c r="FA60" s="54"/>
      <c r="FB60" s="54"/>
      <c r="FC60" s="54"/>
      <c r="FD60" s="54"/>
      <c r="FE60" s="54"/>
      <c r="FF60" s="54"/>
      <c r="FG60" s="54"/>
      <c r="FH60" s="54"/>
      <c r="FI60" s="54"/>
      <c r="FJ60" s="54"/>
      <c r="FK60" s="54"/>
      <c r="FL60" s="54"/>
      <c r="FM60" s="54"/>
      <c r="FN60" s="54"/>
      <c r="FO60" s="54"/>
      <c r="FP60" s="54"/>
      <c r="FQ60" s="54"/>
      <c r="FR60" s="54"/>
      <c r="FS60" s="54"/>
      <c r="FT60" s="54"/>
      <c r="FU60" s="54"/>
    </row>
    <row r="61" spans="1:177" customFormat="1" ht="12.75">
      <c r="A61" s="115" t="s">
        <v>308</v>
      </c>
      <c r="B61" s="116" t="s">
        <v>309</v>
      </c>
      <c r="C61" s="117">
        <v>0</v>
      </c>
      <c r="D61" s="117">
        <v>0</v>
      </c>
      <c r="E61" s="117">
        <v>0</v>
      </c>
      <c r="F61" s="117">
        <v>0</v>
      </c>
      <c r="G61" s="118">
        <f>(((D61*(1+Parâmetros!B11)*(1+Parâmetros!C11)*(1+Parâmetros!D11))+(E61*(1+Parâmetros!C11)*(1+Parâmetros!D11)+(F61*(1+Parâmetros!D11))))/3)*(1+Parâmetros!E11)</f>
        <v>0</v>
      </c>
      <c r="H61" s="118">
        <f>G61*(1+Parâmetros!F11)</f>
        <v>0</v>
      </c>
      <c r="I61" s="118">
        <f>H61*(1+Parâmetros!G11)</f>
        <v>0</v>
      </c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DT61" s="54"/>
      <c r="DU61" s="54"/>
      <c r="DV61" s="54"/>
      <c r="DW61" s="54"/>
      <c r="DX61" s="54"/>
      <c r="DY61" s="54"/>
      <c r="DZ61" s="54"/>
      <c r="EA61" s="54"/>
      <c r="EB61" s="54"/>
      <c r="EC61" s="54"/>
      <c r="ED61" s="54"/>
      <c r="EE61" s="54"/>
      <c r="EF61" s="54"/>
      <c r="EG61" s="54"/>
      <c r="EH61" s="54"/>
      <c r="EI61" s="54"/>
      <c r="EJ61" s="54"/>
      <c r="EK61" s="54"/>
      <c r="EL61" s="54"/>
      <c r="EM61" s="54"/>
      <c r="EN61" s="54"/>
      <c r="EO61" s="54"/>
      <c r="EP61" s="54"/>
      <c r="EQ61" s="54"/>
      <c r="ER61" s="54"/>
      <c r="ES61" s="54"/>
      <c r="ET61" s="54"/>
      <c r="EU61" s="54"/>
      <c r="EV61" s="54"/>
      <c r="EW61" s="54"/>
      <c r="EX61" s="54"/>
      <c r="EY61" s="54"/>
      <c r="EZ61" s="54"/>
      <c r="FA61" s="54"/>
      <c r="FB61" s="54"/>
      <c r="FC61" s="54"/>
      <c r="FD61" s="54"/>
      <c r="FE61" s="54"/>
      <c r="FF61" s="54"/>
      <c r="FG61" s="54"/>
      <c r="FH61" s="54"/>
      <c r="FI61" s="54"/>
      <c r="FJ61" s="54"/>
      <c r="FK61" s="54"/>
      <c r="FL61" s="54"/>
      <c r="FM61" s="54"/>
      <c r="FN61" s="54"/>
      <c r="FO61" s="54"/>
      <c r="FP61" s="54"/>
      <c r="FQ61" s="54"/>
      <c r="FR61" s="54"/>
      <c r="FS61" s="54"/>
      <c r="FT61" s="54"/>
      <c r="FU61" s="54"/>
    </row>
    <row r="62" spans="1:177" customFormat="1" ht="12.75">
      <c r="A62" s="115" t="s">
        <v>310</v>
      </c>
      <c r="B62" s="116" t="s">
        <v>311</v>
      </c>
      <c r="C62" s="117">
        <v>0</v>
      </c>
      <c r="D62" s="117">
        <v>0</v>
      </c>
      <c r="E62" s="117">
        <v>0</v>
      </c>
      <c r="F62" s="117">
        <v>0</v>
      </c>
      <c r="G62" s="118">
        <f>(((D62*(1+Parâmetros!B11)*(1+Parâmetros!C11)*(1+Parâmetros!D11))+(E62*(1+Parâmetros!C11)*(1+Parâmetros!D11)+(F62*(1+Parâmetros!D11))))/3)*(1+Parâmetros!E11)</f>
        <v>0</v>
      </c>
      <c r="H62" s="118">
        <f>G62*(1+Parâmetros!F11)</f>
        <v>0</v>
      </c>
      <c r="I62" s="118">
        <f>H62*(1+Parâmetros!G11)</f>
        <v>0</v>
      </c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  <c r="DT62" s="54"/>
      <c r="DU62" s="54"/>
      <c r="DV62" s="54"/>
      <c r="DW62" s="54"/>
      <c r="DX62" s="54"/>
      <c r="DY62" s="54"/>
      <c r="DZ62" s="54"/>
      <c r="EA62" s="54"/>
      <c r="EB62" s="54"/>
      <c r="EC62" s="54"/>
      <c r="ED62" s="54"/>
      <c r="EE62" s="54"/>
      <c r="EF62" s="54"/>
      <c r="EG62" s="54"/>
      <c r="EH62" s="54"/>
      <c r="EI62" s="54"/>
      <c r="EJ62" s="54"/>
      <c r="EK62" s="54"/>
      <c r="EL62" s="54"/>
      <c r="EM62" s="54"/>
      <c r="EN62" s="54"/>
      <c r="EO62" s="54"/>
      <c r="EP62" s="54"/>
      <c r="EQ62" s="54"/>
      <c r="ER62" s="54"/>
      <c r="ES62" s="54"/>
      <c r="ET62" s="54"/>
      <c r="EU62" s="54"/>
      <c r="EV62" s="54"/>
      <c r="EW62" s="54"/>
      <c r="EX62" s="54"/>
      <c r="EY62" s="54"/>
      <c r="EZ62" s="54"/>
      <c r="FA62" s="54"/>
      <c r="FB62" s="54"/>
      <c r="FC62" s="54"/>
      <c r="FD62" s="54"/>
      <c r="FE62" s="54"/>
      <c r="FF62" s="54"/>
      <c r="FG62" s="54"/>
      <c r="FH62" s="54"/>
      <c r="FI62" s="54"/>
      <c r="FJ62" s="54"/>
      <c r="FK62" s="54"/>
      <c r="FL62" s="54"/>
      <c r="FM62" s="54"/>
      <c r="FN62" s="54"/>
      <c r="FO62" s="54"/>
      <c r="FP62" s="54"/>
      <c r="FQ62" s="54"/>
      <c r="FR62" s="54"/>
      <c r="FS62" s="54"/>
      <c r="FT62" s="54"/>
      <c r="FU62" s="54"/>
    </row>
    <row r="63" spans="1:177" customFormat="1" ht="12.75">
      <c r="A63" s="115" t="s">
        <v>405</v>
      </c>
      <c r="B63" s="116" t="s">
        <v>406</v>
      </c>
      <c r="C63" s="97">
        <v>13478214.43</v>
      </c>
      <c r="D63" s="97">
        <v>15651317.75</v>
      </c>
      <c r="E63" s="117">
        <v>17266910.25</v>
      </c>
      <c r="F63" s="117">
        <v>17900000</v>
      </c>
      <c r="G63" s="118">
        <v>18000000</v>
      </c>
      <c r="H63" s="118">
        <f>G63*(1+Parâmetros!F11)*(1+Parâmetros!F16)</f>
        <v>18099998.425534185</v>
      </c>
      <c r="I63" s="118">
        <f>H63*(1+Parâmetros!G11)*(1+Parâmetros!G16)</f>
        <v>18421158.817286607</v>
      </c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DT63" s="54"/>
      <c r="DU63" s="54"/>
      <c r="DV63" s="54"/>
      <c r="DW63" s="54"/>
      <c r="DX63" s="54"/>
      <c r="DY63" s="54"/>
      <c r="DZ63" s="54"/>
      <c r="EA63" s="54"/>
      <c r="EB63" s="54"/>
      <c r="EC63" s="54"/>
      <c r="ED63" s="54"/>
      <c r="EE63" s="54"/>
      <c r="EF63" s="54"/>
      <c r="EG63" s="54"/>
      <c r="EH63" s="54"/>
      <c r="EI63" s="54"/>
      <c r="EJ63" s="54"/>
      <c r="EK63" s="54"/>
      <c r="EL63" s="54"/>
      <c r="EM63" s="54"/>
      <c r="EN63" s="54"/>
      <c r="EO63" s="54"/>
      <c r="EP63" s="54"/>
      <c r="EQ63" s="54"/>
      <c r="ER63" s="54"/>
      <c r="ES63" s="54"/>
      <c r="ET63" s="54"/>
      <c r="EU63" s="54"/>
      <c r="EV63" s="54"/>
      <c r="EW63" s="54"/>
      <c r="EX63" s="54"/>
      <c r="EY63" s="54"/>
      <c r="EZ63" s="54"/>
      <c r="FA63" s="54"/>
      <c r="FB63" s="54"/>
      <c r="FC63" s="54"/>
      <c r="FD63" s="54"/>
      <c r="FE63" s="54"/>
      <c r="FF63" s="54"/>
      <c r="FG63" s="54"/>
      <c r="FH63" s="54"/>
      <c r="FI63" s="54"/>
      <c r="FJ63" s="54"/>
      <c r="FK63" s="54"/>
      <c r="FL63" s="54"/>
      <c r="FM63" s="54"/>
      <c r="FN63" s="54"/>
      <c r="FO63" s="54"/>
      <c r="FP63" s="54"/>
      <c r="FQ63" s="54"/>
      <c r="FR63" s="54"/>
      <c r="FS63" s="54"/>
      <c r="FT63" s="54"/>
      <c r="FU63" s="54"/>
    </row>
    <row r="64" spans="1:177" customFormat="1" ht="12.75">
      <c r="A64" s="115" t="s">
        <v>313</v>
      </c>
      <c r="B64" s="116" t="s">
        <v>314</v>
      </c>
      <c r="C64" s="98"/>
      <c r="D64" s="97"/>
      <c r="E64" s="117">
        <v>0</v>
      </c>
      <c r="F64" s="117">
        <v>0</v>
      </c>
      <c r="G64" s="118">
        <f>(((D64*(1+Parâmetros!B11)*(1+Parâmetros!C11)*(1+Parâmetros!D11))+(E64*(1+Parâmetros!C11)*(1+Parâmetros!D11)+(F64*(1+Parâmetros!D11))))/3)*(1+Parâmetros!E11)</f>
        <v>0</v>
      </c>
      <c r="H64" s="118">
        <f>G64*(1+Parâmetros!F11)</f>
        <v>0</v>
      </c>
      <c r="I64" s="118">
        <f>H64*(1+Parâmetros!G11)</f>
        <v>0</v>
      </c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DT64" s="54"/>
      <c r="DU64" s="54"/>
      <c r="DV64" s="54"/>
      <c r="DW64" s="54"/>
      <c r="DX64" s="54"/>
      <c r="DY64" s="54"/>
      <c r="DZ64" s="54"/>
      <c r="EA64" s="54"/>
      <c r="EB64" s="54"/>
      <c r="EC64" s="54"/>
      <c r="ED64" s="54"/>
      <c r="EE64" s="54"/>
      <c r="EF64" s="54"/>
      <c r="EG64" s="54"/>
      <c r="EH64" s="54"/>
      <c r="EI64" s="54"/>
      <c r="EJ64" s="54"/>
      <c r="EK64" s="54"/>
      <c r="EL64" s="54"/>
      <c r="EM64" s="54"/>
      <c r="EN64" s="54"/>
      <c r="EO64" s="54"/>
      <c r="EP64" s="54"/>
      <c r="EQ64" s="54"/>
      <c r="ER64" s="54"/>
      <c r="ES64" s="54"/>
      <c r="ET64" s="54"/>
      <c r="EU64" s="54"/>
      <c r="EV64" s="54"/>
      <c r="EW64" s="54"/>
      <c r="EX64" s="54"/>
      <c r="EY64" s="54"/>
      <c r="EZ64" s="54"/>
      <c r="FA64" s="54"/>
      <c r="FB64" s="54"/>
      <c r="FC64" s="54"/>
      <c r="FD64" s="54"/>
      <c r="FE64" s="54"/>
      <c r="FF64" s="54"/>
      <c r="FG64" s="54"/>
      <c r="FH64" s="54"/>
      <c r="FI64" s="54"/>
      <c r="FJ64" s="54"/>
      <c r="FK64" s="54"/>
      <c r="FL64" s="54"/>
      <c r="FM64" s="54"/>
      <c r="FN64" s="54"/>
      <c r="FO64" s="54"/>
      <c r="FP64" s="54"/>
      <c r="FQ64" s="54"/>
      <c r="FR64" s="54"/>
      <c r="FS64" s="54"/>
      <c r="FT64" s="54"/>
      <c r="FU64" s="54"/>
    </row>
    <row r="65" spans="1:177" customFormat="1" ht="12.75">
      <c r="A65" s="115" t="s">
        <v>315</v>
      </c>
      <c r="B65" s="116" t="s">
        <v>316</v>
      </c>
      <c r="C65" s="117">
        <v>0</v>
      </c>
      <c r="D65" s="117">
        <v>0</v>
      </c>
      <c r="E65" s="117">
        <v>0</v>
      </c>
      <c r="F65" s="117">
        <v>0</v>
      </c>
      <c r="G65" s="118">
        <f>(((D65*(1+Parâmetros!B11)*(1+Parâmetros!C11)*(1+Parâmetros!D11))+(E65*(1+Parâmetros!C11)*(1+Parâmetros!D11)+(F65*(1+Parâmetros!D11))))/3)*(1+Parâmetros!E11)</f>
        <v>0</v>
      </c>
      <c r="H65" s="118">
        <f>G65*(1+Parâmetros!F11)</f>
        <v>0</v>
      </c>
      <c r="I65" s="118">
        <f>H65*(1+Parâmetros!G11)</f>
        <v>0</v>
      </c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DT65" s="54"/>
      <c r="DU65" s="54"/>
      <c r="DV65" s="54"/>
      <c r="DW65" s="54"/>
      <c r="DX65" s="54"/>
      <c r="DY65" s="54"/>
      <c r="DZ65" s="54"/>
      <c r="EA65" s="54"/>
      <c r="EB65" s="54"/>
      <c r="EC65" s="54"/>
      <c r="ED65" s="54"/>
      <c r="EE65" s="54"/>
      <c r="EF65" s="54"/>
      <c r="EG65" s="54"/>
      <c r="EH65" s="54"/>
      <c r="EI65" s="54"/>
      <c r="EJ65" s="54"/>
      <c r="EK65" s="54"/>
      <c r="EL65" s="54"/>
      <c r="EM65" s="54"/>
      <c r="EN65" s="54"/>
      <c r="EO65" s="54"/>
      <c r="EP65" s="54"/>
      <c r="EQ65" s="54"/>
      <c r="ER65" s="54"/>
      <c r="ES65" s="54"/>
      <c r="ET65" s="54"/>
      <c r="EU65" s="54"/>
      <c r="EV65" s="54"/>
      <c r="EW65" s="54"/>
      <c r="EX65" s="54"/>
      <c r="EY65" s="54"/>
      <c r="EZ65" s="54"/>
      <c r="FA65" s="54"/>
      <c r="FB65" s="54"/>
      <c r="FC65" s="54"/>
      <c r="FD65" s="54"/>
      <c r="FE65" s="54"/>
      <c r="FF65" s="54"/>
      <c r="FG65" s="54"/>
      <c r="FH65" s="54"/>
      <c r="FI65" s="54"/>
      <c r="FJ65" s="54"/>
      <c r="FK65" s="54"/>
      <c r="FL65" s="54"/>
      <c r="FM65" s="54"/>
      <c r="FN65" s="54"/>
      <c r="FO65" s="54"/>
      <c r="FP65" s="54"/>
      <c r="FQ65" s="54"/>
      <c r="FR65" s="54"/>
      <c r="FS65" s="54"/>
      <c r="FT65" s="54"/>
      <c r="FU65" s="54"/>
    </row>
    <row r="66" spans="1:177" s="7" customFormat="1" ht="12.75">
      <c r="A66" s="112" t="s">
        <v>317</v>
      </c>
      <c r="B66" s="113" t="s">
        <v>318</v>
      </c>
      <c r="C66" s="114">
        <f t="shared" ref="C66:I66" si="11">C67+C68+C71</f>
        <v>1194450.28</v>
      </c>
      <c r="D66" s="114">
        <f t="shared" si="11"/>
        <v>798178.67</v>
      </c>
      <c r="E66" s="114">
        <f t="shared" si="11"/>
        <v>2297977.06</v>
      </c>
      <c r="F66" s="114">
        <f t="shared" si="11"/>
        <v>77000</v>
      </c>
      <c r="G66" s="114">
        <f t="shared" si="11"/>
        <v>102874.55215999999</v>
      </c>
      <c r="H66" s="114">
        <f t="shared" si="11"/>
        <v>106794.109156832</v>
      </c>
      <c r="I66" s="114">
        <f t="shared" si="11"/>
        <v>110731.59705761119</v>
      </c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/>
      <c r="CB66" s="53"/>
      <c r="CC66" s="53"/>
      <c r="CD66" s="53"/>
      <c r="CE66" s="53"/>
      <c r="CF66" s="53"/>
      <c r="CG66" s="53"/>
      <c r="CH66" s="53"/>
      <c r="CI66" s="53"/>
      <c r="CJ66" s="53"/>
      <c r="CK66" s="53"/>
      <c r="CL66" s="53"/>
      <c r="CM66" s="53"/>
      <c r="CN66" s="53"/>
      <c r="CO66" s="53"/>
      <c r="CP66" s="53"/>
      <c r="CQ66" s="53"/>
      <c r="CR66" s="53"/>
      <c r="CS66" s="53"/>
      <c r="CT66" s="53"/>
      <c r="CU66" s="53"/>
      <c r="CV66" s="53"/>
      <c r="CW66" s="53"/>
      <c r="CX66" s="53"/>
      <c r="CY66" s="53"/>
      <c r="CZ66" s="53"/>
      <c r="DA66" s="53"/>
      <c r="DB66" s="53"/>
      <c r="DC66" s="53"/>
      <c r="DD66" s="53"/>
      <c r="DE66" s="53"/>
      <c r="DF66" s="53"/>
      <c r="DG66" s="53"/>
      <c r="DH66" s="53"/>
      <c r="DI66" s="53"/>
      <c r="DJ66" s="53"/>
      <c r="DK66" s="53"/>
      <c r="DL66" s="53"/>
      <c r="DM66" s="53"/>
      <c r="DN66" s="53"/>
      <c r="DO66" s="53"/>
      <c r="DP66" s="53"/>
      <c r="DQ66" s="53"/>
      <c r="DR66" s="53"/>
      <c r="DS66" s="53"/>
      <c r="DT66" s="53"/>
      <c r="DU66" s="53"/>
      <c r="DV66" s="53"/>
      <c r="DW66" s="53"/>
      <c r="DX66" s="53"/>
      <c r="DY66" s="53"/>
      <c r="DZ66" s="53"/>
      <c r="EA66" s="53"/>
      <c r="EB66" s="53"/>
      <c r="EC66" s="53"/>
      <c r="ED66" s="53"/>
      <c r="EE66" s="53"/>
      <c r="EF66" s="53"/>
      <c r="EG66" s="53"/>
      <c r="EH66" s="53"/>
      <c r="EI66" s="53"/>
      <c r="EJ66" s="53"/>
      <c r="EK66" s="53"/>
      <c r="EL66" s="53"/>
      <c r="EM66" s="53"/>
      <c r="EN66" s="53"/>
      <c r="EO66" s="53"/>
      <c r="EP66" s="53"/>
      <c r="EQ66" s="53"/>
      <c r="ER66" s="53"/>
      <c r="ES66" s="53"/>
      <c r="ET66" s="53"/>
      <c r="EU66" s="53"/>
      <c r="EV66" s="53"/>
      <c r="EW66" s="53"/>
      <c r="EX66" s="53"/>
      <c r="EY66" s="53"/>
      <c r="EZ66" s="53"/>
      <c r="FA66" s="53"/>
      <c r="FB66" s="53"/>
      <c r="FC66" s="53"/>
      <c r="FD66" s="53"/>
      <c r="FE66" s="53"/>
      <c r="FF66" s="53"/>
      <c r="FG66" s="53"/>
      <c r="FH66" s="53"/>
      <c r="FI66" s="53"/>
      <c r="FJ66" s="53"/>
      <c r="FK66" s="53"/>
      <c r="FL66" s="53"/>
      <c r="FM66" s="53"/>
      <c r="FN66" s="53"/>
      <c r="FO66" s="53"/>
      <c r="FP66" s="53"/>
      <c r="FQ66" s="53"/>
      <c r="FR66" s="53"/>
      <c r="FS66" s="53"/>
      <c r="FT66" s="53"/>
      <c r="FU66" s="53"/>
    </row>
    <row r="67" spans="1:177" customFormat="1" ht="12.75">
      <c r="A67" s="115" t="s">
        <v>319</v>
      </c>
      <c r="B67" s="116" t="s">
        <v>320</v>
      </c>
      <c r="C67" s="97">
        <v>1194450.28</v>
      </c>
      <c r="D67" s="97">
        <v>798178.67</v>
      </c>
      <c r="E67" s="117">
        <v>1769339.66</v>
      </c>
      <c r="F67" s="117">
        <v>20000</v>
      </c>
      <c r="G67" s="118">
        <v>20000</v>
      </c>
      <c r="H67" s="118">
        <f>G67*(1+Parâmetros!F11)</f>
        <v>20804</v>
      </c>
      <c r="I67" s="118">
        <f>H67*(1+Parâmetros!G11)</f>
        <v>21623.677600000003</v>
      </c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DT67" s="54"/>
      <c r="DU67" s="54"/>
      <c r="DV67" s="54"/>
      <c r="DW67" s="54"/>
      <c r="DX67" s="54"/>
      <c r="DY67" s="54"/>
      <c r="DZ67" s="54"/>
      <c r="EA67" s="54"/>
      <c r="EB67" s="54"/>
      <c r="EC67" s="54"/>
      <c r="ED67" s="54"/>
      <c r="EE67" s="54"/>
      <c r="EF67" s="54"/>
      <c r="EG67" s="54"/>
      <c r="EH67" s="54"/>
      <c r="EI67" s="54"/>
      <c r="EJ67" s="54"/>
      <c r="EK67" s="54"/>
      <c r="EL67" s="54"/>
      <c r="EM67" s="54"/>
      <c r="EN67" s="54"/>
      <c r="EO67" s="54"/>
      <c r="EP67" s="54"/>
      <c r="EQ67" s="54"/>
      <c r="ER67" s="54"/>
      <c r="ES67" s="54"/>
      <c r="ET67" s="54"/>
      <c r="EU67" s="54"/>
      <c r="EV67" s="54"/>
      <c r="EW67" s="54"/>
      <c r="EX67" s="54"/>
      <c r="EY67" s="54"/>
      <c r="EZ67" s="54"/>
      <c r="FA67" s="54"/>
      <c r="FB67" s="54"/>
      <c r="FC67" s="54"/>
      <c r="FD67" s="54"/>
      <c r="FE67" s="54"/>
      <c r="FF67" s="54"/>
      <c r="FG67" s="54"/>
      <c r="FH67" s="54"/>
      <c r="FI67" s="54"/>
      <c r="FJ67" s="54"/>
      <c r="FK67" s="54"/>
      <c r="FL67" s="54"/>
      <c r="FM67" s="54"/>
      <c r="FN67" s="54"/>
      <c r="FO67" s="54"/>
      <c r="FP67" s="54"/>
      <c r="FQ67" s="54"/>
      <c r="FR67" s="54"/>
      <c r="FS67" s="54"/>
      <c r="FT67" s="54"/>
      <c r="FU67" s="54"/>
    </row>
    <row r="68" spans="1:177" customFormat="1" ht="12.75">
      <c r="A68" s="123" t="s">
        <v>321</v>
      </c>
      <c r="B68" s="124" t="s">
        <v>322</v>
      </c>
      <c r="C68" s="125">
        <f t="shared" ref="C68:I68" si="12">C69+C70</f>
        <v>0</v>
      </c>
      <c r="D68" s="125">
        <f t="shared" si="12"/>
        <v>0</v>
      </c>
      <c r="E68" s="125">
        <f t="shared" si="12"/>
        <v>0</v>
      </c>
      <c r="F68" s="125">
        <f t="shared" si="12"/>
        <v>8000</v>
      </c>
      <c r="G68" s="125">
        <f t="shared" si="12"/>
        <v>2874.5521599999997</v>
      </c>
      <c r="H68" s="125">
        <f t="shared" si="12"/>
        <v>2990.1091568319998</v>
      </c>
      <c r="I68" s="125">
        <f t="shared" si="12"/>
        <v>3107.9194576111809</v>
      </c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DT68" s="54"/>
      <c r="DU68" s="54"/>
      <c r="DV68" s="54"/>
      <c r="DW68" s="54"/>
      <c r="DX68" s="54"/>
      <c r="DY68" s="54"/>
      <c r="DZ68" s="54"/>
      <c r="EA68" s="54"/>
      <c r="EB68" s="54"/>
      <c r="EC68" s="54"/>
      <c r="ED68" s="54"/>
      <c r="EE68" s="54"/>
      <c r="EF68" s="54"/>
      <c r="EG68" s="54"/>
      <c r="EH68" s="54"/>
      <c r="EI68" s="54"/>
      <c r="EJ68" s="54"/>
      <c r="EK68" s="54"/>
      <c r="EL68" s="54"/>
      <c r="EM68" s="54"/>
      <c r="EN68" s="54"/>
      <c r="EO68" s="54"/>
      <c r="EP68" s="54"/>
      <c r="EQ68" s="54"/>
      <c r="ER68" s="54"/>
      <c r="ES68" s="54"/>
      <c r="ET68" s="54"/>
      <c r="EU68" s="54"/>
      <c r="EV68" s="54"/>
      <c r="EW68" s="54"/>
      <c r="EX68" s="54"/>
      <c r="EY68" s="54"/>
      <c r="EZ68" s="54"/>
      <c r="FA68" s="54"/>
      <c r="FB68" s="54"/>
      <c r="FC68" s="54"/>
      <c r="FD68" s="54"/>
      <c r="FE68" s="54"/>
      <c r="FF68" s="54"/>
      <c r="FG68" s="54"/>
      <c r="FH68" s="54"/>
      <c r="FI68" s="54"/>
      <c r="FJ68" s="54"/>
      <c r="FK68" s="54"/>
      <c r="FL68" s="54"/>
      <c r="FM68" s="54"/>
      <c r="FN68" s="54"/>
      <c r="FO68" s="54"/>
      <c r="FP68" s="54"/>
      <c r="FQ68" s="54"/>
      <c r="FR68" s="54"/>
      <c r="FS68" s="54"/>
      <c r="FT68" s="54"/>
      <c r="FU68" s="54"/>
    </row>
    <row r="69" spans="1:177" customFormat="1" ht="12.75">
      <c r="A69" s="115" t="s">
        <v>527</v>
      </c>
      <c r="B69" s="116" t="s">
        <v>528</v>
      </c>
      <c r="C69" s="117">
        <v>0</v>
      </c>
      <c r="D69" s="117">
        <v>0</v>
      </c>
      <c r="E69" s="117">
        <v>0</v>
      </c>
      <c r="F69" s="117">
        <v>0</v>
      </c>
      <c r="G69" s="125">
        <f>(((D69*(1+Parâmetros!B11)*(1+Parâmetros!C11)*(1+Parâmetros!D11))+(E69*(1+Parâmetros!C11)*(1+Parâmetros!D11)+(F69*(1+Parâmetros!D11))))/3)*(1+Parâmetros!E11)</f>
        <v>0</v>
      </c>
      <c r="H69" s="125">
        <f>G69*(1+Parâmetros!F11)</f>
        <v>0</v>
      </c>
      <c r="I69" s="125">
        <f>H69*(1+Parâmetros!G11)</f>
        <v>0</v>
      </c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DT69" s="54"/>
      <c r="DU69" s="54"/>
      <c r="DV69" s="54"/>
      <c r="DW69" s="54"/>
      <c r="DX69" s="54"/>
      <c r="DY69" s="54"/>
      <c r="DZ69" s="54"/>
      <c r="EA69" s="54"/>
      <c r="EB69" s="54"/>
      <c r="EC69" s="54"/>
      <c r="ED69" s="54"/>
      <c r="EE69" s="54"/>
      <c r="EF69" s="54"/>
      <c r="EG69" s="54"/>
      <c r="EH69" s="54"/>
      <c r="EI69" s="54"/>
      <c r="EJ69" s="54"/>
      <c r="EK69" s="54"/>
      <c r="EL69" s="54"/>
      <c r="EM69" s="54"/>
      <c r="EN69" s="54"/>
      <c r="EO69" s="54"/>
      <c r="EP69" s="54"/>
      <c r="EQ69" s="54"/>
      <c r="ER69" s="54"/>
      <c r="ES69" s="54"/>
      <c r="ET69" s="54"/>
      <c r="EU69" s="54"/>
      <c r="EV69" s="54"/>
      <c r="EW69" s="54"/>
      <c r="EX69" s="54"/>
      <c r="EY69" s="54"/>
      <c r="EZ69" s="54"/>
      <c r="FA69" s="54"/>
      <c r="FB69" s="54"/>
      <c r="FC69" s="54"/>
      <c r="FD69" s="54"/>
      <c r="FE69" s="54"/>
      <c r="FF69" s="54"/>
      <c r="FG69" s="54"/>
      <c r="FH69" s="54"/>
      <c r="FI69" s="54"/>
      <c r="FJ69" s="54"/>
      <c r="FK69" s="54"/>
      <c r="FL69" s="54"/>
      <c r="FM69" s="54"/>
      <c r="FN69" s="54"/>
      <c r="FO69" s="54"/>
      <c r="FP69" s="54"/>
      <c r="FQ69" s="54"/>
      <c r="FR69" s="54"/>
      <c r="FS69" s="54"/>
      <c r="FT69" s="54"/>
      <c r="FU69" s="54"/>
    </row>
    <row r="70" spans="1:177" customFormat="1" ht="12.75">
      <c r="A70" s="115" t="s">
        <v>529</v>
      </c>
      <c r="B70" s="116" t="s">
        <v>530</v>
      </c>
      <c r="C70" s="117">
        <v>0</v>
      </c>
      <c r="D70" s="117">
        <v>0</v>
      </c>
      <c r="E70" s="117">
        <v>0</v>
      </c>
      <c r="F70" s="117">
        <v>8000</v>
      </c>
      <c r="G70" s="125">
        <f>(((D70*(1+Parâmetros!B11)*(1+Parâmetros!C11)*(1+Parâmetros!D11))+(E70*(1+Parâmetros!C11)*(1+Parâmetros!D11)+(F70*(1+Parâmetros!D11))))/3)*(1+Parâmetros!E11)</f>
        <v>2874.5521599999997</v>
      </c>
      <c r="H70" s="125">
        <f>G70*(1+Parâmetros!F11)</f>
        <v>2990.1091568319998</v>
      </c>
      <c r="I70" s="125">
        <f>H70*(1+Parâmetros!G11)</f>
        <v>3107.9194576111809</v>
      </c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DT70" s="54"/>
      <c r="DU70" s="54"/>
      <c r="DV70" s="54"/>
      <c r="DW70" s="54"/>
      <c r="DX70" s="54"/>
      <c r="DY70" s="54"/>
      <c r="DZ70" s="54"/>
      <c r="EA70" s="54"/>
      <c r="EB70" s="54"/>
      <c r="EC70" s="54"/>
      <c r="ED70" s="54"/>
      <c r="EE70" s="54"/>
      <c r="EF70" s="54"/>
      <c r="EG70" s="54"/>
      <c r="EH70" s="54"/>
      <c r="EI70" s="54"/>
      <c r="EJ70" s="54"/>
      <c r="EK70" s="54"/>
      <c r="EL70" s="54"/>
      <c r="EM70" s="54"/>
      <c r="EN70" s="54"/>
      <c r="EO70" s="54"/>
      <c r="EP70" s="54"/>
      <c r="EQ70" s="54"/>
      <c r="ER70" s="54"/>
      <c r="ES70" s="54"/>
      <c r="ET70" s="54"/>
      <c r="EU70" s="54"/>
      <c r="EV70" s="54"/>
      <c r="EW70" s="54"/>
      <c r="EX70" s="54"/>
      <c r="EY70" s="54"/>
      <c r="EZ70" s="54"/>
      <c r="FA70" s="54"/>
      <c r="FB70" s="54"/>
      <c r="FC70" s="54"/>
      <c r="FD70" s="54"/>
      <c r="FE70" s="54"/>
      <c r="FF70" s="54"/>
      <c r="FG70" s="54"/>
      <c r="FH70" s="54"/>
      <c r="FI70" s="54"/>
      <c r="FJ70" s="54"/>
      <c r="FK70" s="54"/>
      <c r="FL70" s="54"/>
      <c r="FM70" s="54"/>
      <c r="FN70" s="54"/>
      <c r="FO70" s="54"/>
      <c r="FP70" s="54"/>
      <c r="FQ70" s="54"/>
      <c r="FR70" s="54"/>
      <c r="FS70" s="54"/>
      <c r="FT70" s="54"/>
      <c r="FU70" s="54"/>
    </row>
    <row r="71" spans="1:177" s="7" customFormat="1" ht="12.75">
      <c r="A71" s="112" t="s">
        <v>323</v>
      </c>
      <c r="B71" s="113" t="s">
        <v>324</v>
      </c>
      <c r="C71" s="114">
        <f t="shared" ref="C71:F71" si="13">C72+C73+C74+C75+C76+C77</f>
        <v>0</v>
      </c>
      <c r="D71" s="114">
        <f t="shared" si="13"/>
        <v>0</v>
      </c>
      <c r="E71" s="114">
        <f t="shared" si="13"/>
        <v>528637.4</v>
      </c>
      <c r="F71" s="114">
        <f t="shared" si="13"/>
        <v>49000</v>
      </c>
      <c r="G71" s="114">
        <v>80000</v>
      </c>
      <c r="H71" s="114">
        <v>83000</v>
      </c>
      <c r="I71" s="114">
        <v>86000</v>
      </c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3"/>
      <c r="BY71" s="53"/>
      <c r="BZ71" s="53"/>
      <c r="CA71" s="53"/>
      <c r="CB71" s="53"/>
      <c r="CC71" s="53"/>
      <c r="CD71" s="53"/>
      <c r="CE71" s="53"/>
      <c r="CF71" s="53"/>
      <c r="CG71" s="53"/>
      <c r="CH71" s="53"/>
      <c r="CI71" s="53"/>
      <c r="CJ71" s="53"/>
      <c r="CK71" s="53"/>
      <c r="CL71" s="53"/>
      <c r="CM71" s="53"/>
      <c r="CN71" s="53"/>
      <c r="CO71" s="53"/>
      <c r="CP71" s="53"/>
      <c r="CQ71" s="53"/>
      <c r="CR71" s="53"/>
      <c r="CS71" s="53"/>
      <c r="CT71" s="53"/>
      <c r="CU71" s="53"/>
      <c r="CV71" s="53"/>
      <c r="CW71" s="53"/>
      <c r="CX71" s="53"/>
      <c r="CY71" s="53"/>
      <c r="CZ71" s="53"/>
      <c r="DA71" s="53"/>
      <c r="DB71" s="53"/>
      <c r="DC71" s="53"/>
      <c r="DD71" s="53"/>
      <c r="DE71" s="53"/>
      <c r="DF71" s="53"/>
      <c r="DG71" s="53"/>
      <c r="DH71" s="53"/>
      <c r="DI71" s="53"/>
      <c r="DJ71" s="53"/>
      <c r="DK71" s="53"/>
      <c r="DL71" s="53"/>
      <c r="DM71" s="53"/>
      <c r="DN71" s="53"/>
      <c r="DO71" s="53"/>
      <c r="DP71" s="53"/>
      <c r="DQ71" s="53"/>
      <c r="DR71" s="53"/>
      <c r="DS71" s="53"/>
      <c r="DT71" s="53"/>
      <c r="DU71" s="53"/>
      <c r="DV71" s="53"/>
      <c r="DW71" s="53"/>
      <c r="DX71" s="53"/>
      <c r="DY71" s="53"/>
      <c r="DZ71" s="53"/>
      <c r="EA71" s="53"/>
      <c r="EB71" s="53"/>
      <c r="EC71" s="53"/>
      <c r="ED71" s="53"/>
      <c r="EE71" s="53"/>
      <c r="EF71" s="53"/>
      <c r="EG71" s="53"/>
      <c r="EH71" s="53"/>
      <c r="EI71" s="53"/>
      <c r="EJ71" s="53"/>
      <c r="EK71" s="53"/>
      <c r="EL71" s="53"/>
      <c r="EM71" s="53"/>
      <c r="EN71" s="53"/>
      <c r="EO71" s="53"/>
      <c r="EP71" s="53"/>
      <c r="EQ71" s="53"/>
      <c r="ER71" s="53"/>
      <c r="ES71" s="53"/>
      <c r="ET71" s="53"/>
      <c r="EU71" s="53"/>
      <c r="EV71" s="53"/>
      <c r="EW71" s="53"/>
      <c r="EX71" s="53"/>
      <c r="EY71" s="53"/>
      <c r="EZ71" s="53"/>
      <c r="FA71" s="53"/>
      <c r="FB71" s="53"/>
      <c r="FC71" s="53"/>
      <c r="FD71" s="53"/>
      <c r="FE71" s="53"/>
      <c r="FF71" s="53"/>
      <c r="FG71" s="53"/>
      <c r="FH71" s="53"/>
      <c r="FI71" s="53"/>
      <c r="FJ71" s="53"/>
      <c r="FK71" s="53"/>
      <c r="FL71" s="53"/>
      <c r="FM71" s="53"/>
      <c r="FN71" s="53"/>
      <c r="FO71" s="53"/>
      <c r="FP71" s="53"/>
      <c r="FQ71" s="53"/>
      <c r="FR71" s="53"/>
      <c r="FS71" s="53"/>
      <c r="FT71" s="53"/>
      <c r="FU71" s="53"/>
    </row>
    <row r="72" spans="1:177" customFormat="1" ht="25.5">
      <c r="A72" s="115" t="s">
        <v>325</v>
      </c>
      <c r="B72" s="116" t="s">
        <v>326</v>
      </c>
      <c r="C72" s="117">
        <v>0</v>
      </c>
      <c r="D72" s="117">
        <v>0</v>
      </c>
      <c r="E72" s="117">
        <v>0</v>
      </c>
      <c r="F72" s="117">
        <v>0</v>
      </c>
      <c r="G72" s="118">
        <f>(((D72*(1+Parâmetros!B11)*(1+Parâmetros!C11)*(1+Parâmetros!D11))+(E72*(1+Parâmetros!C11)*(1+Parâmetros!D11)+(F72*(1+Parâmetros!D11))))/3)*(1+Parâmetros!E11)</f>
        <v>0</v>
      </c>
      <c r="H72" s="118">
        <f>G72*(1+Parâmetros!F11)</f>
        <v>0</v>
      </c>
      <c r="I72" s="118">
        <f>H72*(1+Parâmetros!G11)</f>
        <v>0</v>
      </c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  <c r="DT72" s="54"/>
      <c r="DU72" s="54"/>
      <c r="DV72" s="54"/>
      <c r="DW72" s="54"/>
      <c r="DX72" s="54"/>
      <c r="DY72" s="54"/>
      <c r="DZ72" s="54"/>
      <c r="EA72" s="54"/>
      <c r="EB72" s="54"/>
      <c r="EC72" s="54"/>
      <c r="ED72" s="54"/>
      <c r="EE72" s="54"/>
      <c r="EF72" s="54"/>
      <c r="EG72" s="54"/>
      <c r="EH72" s="54"/>
      <c r="EI72" s="54"/>
      <c r="EJ72" s="54"/>
      <c r="EK72" s="54"/>
      <c r="EL72" s="54"/>
      <c r="EM72" s="54"/>
      <c r="EN72" s="54"/>
      <c r="EO72" s="54"/>
      <c r="EP72" s="54"/>
      <c r="EQ72" s="54"/>
      <c r="ER72" s="54"/>
      <c r="ES72" s="54"/>
      <c r="ET72" s="54"/>
      <c r="EU72" s="54"/>
      <c r="EV72" s="54"/>
      <c r="EW72" s="54"/>
      <c r="EX72" s="54"/>
      <c r="EY72" s="54"/>
      <c r="EZ72" s="54"/>
      <c r="FA72" s="54"/>
      <c r="FB72" s="54"/>
      <c r="FC72" s="54"/>
      <c r="FD72" s="54"/>
      <c r="FE72" s="54"/>
      <c r="FF72" s="54"/>
      <c r="FG72" s="54"/>
      <c r="FH72" s="54"/>
      <c r="FI72" s="54"/>
      <c r="FJ72" s="54"/>
      <c r="FK72" s="54"/>
      <c r="FL72" s="54"/>
      <c r="FM72" s="54"/>
      <c r="FN72" s="54"/>
      <c r="FO72" s="54"/>
      <c r="FP72" s="54"/>
      <c r="FQ72" s="54"/>
      <c r="FR72" s="54"/>
      <c r="FS72" s="54"/>
      <c r="FT72" s="54"/>
      <c r="FU72" s="54"/>
    </row>
    <row r="73" spans="1:177" customFormat="1" ht="12.75">
      <c r="A73" s="115" t="s">
        <v>327</v>
      </c>
      <c r="B73" s="116" t="s">
        <v>328</v>
      </c>
      <c r="C73" s="117"/>
      <c r="D73" s="117"/>
      <c r="E73" s="117"/>
      <c r="F73" s="117"/>
      <c r="G73" s="118">
        <f>(((D73*(1+Parâmetros!B11)*(1+Parâmetros!C11)*(1+Parâmetros!D11))+(E73*(1+Parâmetros!C11)*(1+Parâmetros!D11)+(F73*(1+Parâmetros!D11))))/3)*(1+Parâmetros!E11)</f>
        <v>0</v>
      </c>
      <c r="H73" s="118">
        <f>G73*(1+Parâmetros!F11)</f>
        <v>0</v>
      </c>
      <c r="I73" s="118">
        <f>H73*(1+Parâmetros!G11)</f>
        <v>0</v>
      </c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  <c r="DT73" s="54"/>
      <c r="DU73" s="54"/>
      <c r="DV73" s="54"/>
      <c r="DW73" s="54"/>
      <c r="DX73" s="54"/>
      <c r="DY73" s="54"/>
      <c r="DZ73" s="54"/>
      <c r="EA73" s="54"/>
      <c r="EB73" s="54"/>
      <c r="EC73" s="54"/>
      <c r="ED73" s="54"/>
      <c r="EE73" s="54"/>
      <c r="EF73" s="54"/>
      <c r="EG73" s="54"/>
      <c r="EH73" s="54"/>
      <c r="EI73" s="54"/>
      <c r="EJ73" s="54"/>
      <c r="EK73" s="54"/>
      <c r="EL73" s="54"/>
      <c r="EM73" s="54"/>
      <c r="EN73" s="54"/>
      <c r="EO73" s="54"/>
      <c r="EP73" s="54"/>
      <c r="EQ73" s="54"/>
      <c r="ER73" s="54"/>
      <c r="ES73" s="54"/>
      <c r="ET73" s="54"/>
      <c r="EU73" s="54"/>
      <c r="EV73" s="54"/>
      <c r="EW73" s="54"/>
      <c r="EX73" s="54"/>
      <c r="EY73" s="54"/>
      <c r="EZ73" s="54"/>
      <c r="FA73" s="54"/>
      <c r="FB73" s="54"/>
      <c r="FC73" s="54"/>
      <c r="FD73" s="54"/>
      <c r="FE73" s="54"/>
      <c r="FF73" s="54"/>
      <c r="FG73" s="54"/>
      <c r="FH73" s="54"/>
      <c r="FI73" s="54"/>
      <c r="FJ73" s="54"/>
      <c r="FK73" s="54"/>
      <c r="FL73" s="54"/>
      <c r="FM73" s="54"/>
      <c r="FN73" s="54"/>
      <c r="FO73" s="54"/>
      <c r="FP73" s="54"/>
      <c r="FQ73" s="54"/>
      <c r="FR73" s="54"/>
      <c r="FS73" s="54"/>
      <c r="FT73" s="54"/>
      <c r="FU73" s="54"/>
    </row>
    <row r="74" spans="1:177" customFormat="1" ht="12.75">
      <c r="A74" s="115" t="s">
        <v>531</v>
      </c>
      <c r="B74" s="116" t="s">
        <v>532</v>
      </c>
      <c r="C74" s="117">
        <v>0</v>
      </c>
      <c r="D74" s="117">
        <v>0</v>
      </c>
      <c r="E74" s="117">
        <v>0</v>
      </c>
      <c r="F74" s="117">
        <v>0</v>
      </c>
      <c r="G74" s="118">
        <f>((C74+D74+E74+F74)/4)/Parâmetros!D22*Parâmetros!E22</f>
        <v>0</v>
      </c>
      <c r="H74" s="118">
        <f>((D74+E74+F74+G74)/4)/Parâmetros!E22*Parâmetros!F22</f>
        <v>0</v>
      </c>
      <c r="I74" s="118">
        <f>((E74+F74+G74+H74)/4)/Parâmetros!F22*Parâmetros!G22</f>
        <v>0</v>
      </c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  <c r="DT74" s="54"/>
      <c r="DU74" s="54"/>
      <c r="DV74" s="54"/>
      <c r="DW74" s="54"/>
      <c r="DX74" s="54"/>
      <c r="DY74" s="54"/>
      <c r="DZ74" s="54"/>
      <c r="EA74" s="54"/>
      <c r="EB74" s="54"/>
      <c r="EC74" s="54"/>
      <c r="ED74" s="54"/>
      <c r="EE74" s="54"/>
      <c r="EF74" s="54"/>
      <c r="EG74" s="54"/>
      <c r="EH74" s="54"/>
      <c r="EI74" s="54"/>
      <c r="EJ74" s="54"/>
      <c r="EK74" s="54"/>
      <c r="EL74" s="54"/>
      <c r="EM74" s="54"/>
      <c r="EN74" s="54"/>
      <c r="EO74" s="54"/>
      <c r="EP74" s="54"/>
      <c r="EQ74" s="54"/>
      <c r="ER74" s="54"/>
      <c r="ES74" s="54"/>
      <c r="ET74" s="54"/>
      <c r="EU74" s="54"/>
      <c r="EV74" s="54"/>
      <c r="EW74" s="54"/>
      <c r="EX74" s="54"/>
      <c r="EY74" s="54"/>
      <c r="EZ74" s="54"/>
      <c r="FA74" s="54"/>
      <c r="FB74" s="54"/>
      <c r="FC74" s="54"/>
      <c r="FD74" s="54"/>
      <c r="FE74" s="54"/>
      <c r="FF74" s="54"/>
      <c r="FG74" s="54"/>
      <c r="FH74" s="54"/>
      <c r="FI74" s="54"/>
      <c r="FJ74" s="54"/>
      <c r="FK74" s="54"/>
      <c r="FL74" s="54"/>
      <c r="FM74" s="54"/>
      <c r="FN74" s="54"/>
      <c r="FO74" s="54"/>
      <c r="FP74" s="54"/>
      <c r="FQ74" s="54"/>
      <c r="FR74" s="54"/>
      <c r="FS74" s="54"/>
      <c r="FT74" s="54"/>
      <c r="FU74" s="54"/>
    </row>
    <row r="75" spans="1:177" customFormat="1" ht="25.5">
      <c r="A75" s="115" t="s">
        <v>329</v>
      </c>
      <c r="B75" s="116" t="s">
        <v>330</v>
      </c>
      <c r="C75" s="117">
        <v>0</v>
      </c>
      <c r="D75" s="117">
        <v>0</v>
      </c>
      <c r="E75" s="117">
        <v>0</v>
      </c>
      <c r="F75" s="117">
        <v>0</v>
      </c>
      <c r="G75" s="118">
        <f>(((D75*(1+Parâmetros!B11)*(1+Parâmetros!C11)*(1+Parâmetros!D11))+(E75*(1+Parâmetros!C11)*(1+Parâmetros!D11)+(F75*(1+Parâmetros!D11))))/3)*(1+Parâmetros!E11)</f>
        <v>0</v>
      </c>
      <c r="H75" s="118">
        <f>G75*(1+Parâmetros!F11)</f>
        <v>0</v>
      </c>
      <c r="I75" s="118">
        <f>H75*(1+Parâmetros!G11)</f>
        <v>0</v>
      </c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  <c r="DT75" s="54"/>
      <c r="DU75" s="54"/>
      <c r="DV75" s="54"/>
      <c r="DW75" s="54"/>
      <c r="DX75" s="54"/>
      <c r="DY75" s="54"/>
      <c r="DZ75" s="54"/>
      <c r="EA75" s="54"/>
      <c r="EB75" s="54"/>
      <c r="EC75" s="54"/>
      <c r="ED75" s="54"/>
      <c r="EE75" s="54"/>
      <c r="EF75" s="54"/>
      <c r="EG75" s="54"/>
      <c r="EH75" s="54"/>
      <c r="EI75" s="54"/>
      <c r="EJ75" s="54"/>
      <c r="EK75" s="54"/>
      <c r="EL75" s="54"/>
      <c r="EM75" s="54"/>
      <c r="EN75" s="54"/>
      <c r="EO75" s="54"/>
      <c r="EP75" s="54"/>
      <c r="EQ75" s="54"/>
      <c r="ER75" s="54"/>
      <c r="ES75" s="54"/>
      <c r="ET75" s="54"/>
      <c r="EU75" s="54"/>
      <c r="EV75" s="54"/>
      <c r="EW75" s="54"/>
      <c r="EX75" s="54"/>
      <c r="EY75" s="54"/>
      <c r="EZ75" s="54"/>
      <c r="FA75" s="54"/>
      <c r="FB75" s="54"/>
      <c r="FC75" s="54"/>
      <c r="FD75" s="54"/>
      <c r="FE75" s="54"/>
      <c r="FF75" s="54"/>
      <c r="FG75" s="54"/>
      <c r="FH75" s="54"/>
      <c r="FI75" s="54"/>
      <c r="FJ75" s="54"/>
      <c r="FK75" s="54"/>
      <c r="FL75" s="54"/>
      <c r="FM75" s="54"/>
      <c r="FN75" s="54"/>
      <c r="FO75" s="54"/>
      <c r="FP75" s="54"/>
      <c r="FQ75" s="54"/>
      <c r="FR75" s="54"/>
      <c r="FS75" s="54"/>
      <c r="FT75" s="54"/>
      <c r="FU75" s="54"/>
    </row>
    <row r="76" spans="1:177" customFormat="1" ht="12.75">
      <c r="A76" s="115" t="s">
        <v>533</v>
      </c>
      <c r="B76" s="116" t="s">
        <v>534</v>
      </c>
      <c r="C76" s="117">
        <v>0</v>
      </c>
      <c r="D76" s="117">
        <v>0</v>
      </c>
      <c r="E76" s="117">
        <v>0</v>
      </c>
      <c r="F76" s="117">
        <v>0</v>
      </c>
      <c r="G76" s="118">
        <f>((C76+D76+E76+F76)/4)*(1+Parâmetros!E11)</f>
        <v>0</v>
      </c>
      <c r="H76" s="118">
        <f>((D76+E76+F76+G76)/4)*(1+Parâmetros!F11)</f>
        <v>0</v>
      </c>
      <c r="I76" s="118">
        <f>((E76+F76+G76+H76)/4)*(1+Parâmetros!G11)</f>
        <v>0</v>
      </c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  <c r="DT76" s="54"/>
      <c r="DU76" s="54"/>
      <c r="DV76" s="54"/>
      <c r="DW76" s="54"/>
      <c r="DX76" s="54"/>
      <c r="DY76" s="54"/>
      <c r="DZ76" s="54"/>
      <c r="EA76" s="54"/>
      <c r="EB76" s="54"/>
      <c r="EC76" s="54"/>
      <c r="ED76" s="54"/>
      <c r="EE76" s="54"/>
      <c r="EF76" s="54"/>
      <c r="EG76" s="54"/>
      <c r="EH76" s="54"/>
      <c r="EI76" s="54"/>
      <c r="EJ76" s="54"/>
      <c r="EK76" s="54"/>
      <c r="EL76" s="54"/>
      <c r="EM76" s="54"/>
      <c r="EN76" s="54"/>
      <c r="EO76" s="54"/>
      <c r="EP76" s="54"/>
      <c r="EQ76" s="54"/>
      <c r="ER76" s="54"/>
      <c r="ES76" s="54"/>
      <c r="ET76" s="54"/>
      <c r="EU76" s="54"/>
      <c r="EV76" s="54"/>
      <c r="EW76" s="54"/>
      <c r="EX76" s="54"/>
      <c r="EY76" s="54"/>
      <c r="EZ76" s="54"/>
      <c r="FA76" s="54"/>
      <c r="FB76" s="54"/>
      <c r="FC76" s="54"/>
      <c r="FD76" s="54"/>
      <c r="FE76" s="54"/>
      <c r="FF76" s="54"/>
      <c r="FG76" s="54"/>
      <c r="FH76" s="54"/>
      <c r="FI76" s="54"/>
      <c r="FJ76" s="54"/>
      <c r="FK76" s="54"/>
      <c r="FL76" s="54"/>
      <c r="FM76" s="54"/>
      <c r="FN76" s="54"/>
      <c r="FO76" s="54"/>
      <c r="FP76" s="54"/>
      <c r="FQ76" s="54"/>
      <c r="FR76" s="54"/>
      <c r="FS76" s="54"/>
      <c r="FT76" s="54"/>
      <c r="FU76" s="54"/>
    </row>
    <row r="77" spans="1:177" customFormat="1" ht="12.75">
      <c r="A77" s="115" t="s">
        <v>331</v>
      </c>
      <c r="B77" s="116" t="s">
        <v>535</v>
      </c>
      <c r="C77" s="117"/>
      <c r="D77" s="117"/>
      <c r="E77" s="117">
        <v>528637.4</v>
      </c>
      <c r="F77" s="117">
        <v>49000</v>
      </c>
      <c r="G77" s="118">
        <f>(((D77*(1+Parâmetros!B11)*(1+Parâmetros!C11)*(1+Parâmetros!D11))+(E77*(1+Parâmetros!C11)*(1+Parâmetros!D11)+(F77*(1+Parâmetros!D11))))/3)*(1+Parâmetros!E11)</f>
        <v>215002.1238054792</v>
      </c>
      <c r="H77" s="118">
        <f>G77*(1+Parâmetros!F11)</f>
        <v>223645.20918245948</v>
      </c>
      <c r="I77" s="118">
        <f>H77*(1+Parâmetros!G11)</f>
        <v>232456.83042424842</v>
      </c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  <c r="DT77" s="54"/>
      <c r="DU77" s="54"/>
      <c r="DV77" s="54"/>
      <c r="DW77" s="54"/>
      <c r="DX77" s="54"/>
      <c r="DY77" s="54"/>
      <c r="DZ77" s="54"/>
      <c r="EA77" s="54"/>
      <c r="EB77" s="54"/>
      <c r="EC77" s="54"/>
      <c r="ED77" s="54"/>
      <c r="EE77" s="54"/>
      <c r="EF77" s="54"/>
      <c r="EG77" s="54"/>
      <c r="EH77" s="54"/>
      <c r="EI77" s="54"/>
      <c r="EJ77" s="54"/>
      <c r="EK77" s="54"/>
      <c r="EL77" s="54"/>
      <c r="EM77" s="54"/>
      <c r="EN77" s="54"/>
      <c r="EO77" s="54"/>
      <c r="EP77" s="54"/>
      <c r="EQ77" s="54"/>
      <c r="ER77" s="54"/>
      <c r="ES77" s="54"/>
      <c r="ET77" s="54"/>
      <c r="EU77" s="54"/>
      <c r="EV77" s="54"/>
      <c r="EW77" s="54"/>
      <c r="EX77" s="54"/>
      <c r="EY77" s="54"/>
      <c r="EZ77" s="54"/>
      <c r="FA77" s="54"/>
      <c r="FB77" s="54"/>
      <c r="FC77" s="54"/>
      <c r="FD77" s="54"/>
      <c r="FE77" s="54"/>
      <c r="FF77" s="54"/>
      <c r="FG77" s="54"/>
      <c r="FH77" s="54"/>
      <c r="FI77" s="54"/>
      <c r="FJ77" s="54"/>
      <c r="FK77" s="54"/>
      <c r="FL77" s="54"/>
      <c r="FM77" s="54"/>
      <c r="FN77" s="54"/>
      <c r="FO77" s="54"/>
      <c r="FP77" s="54"/>
      <c r="FQ77" s="54"/>
      <c r="FR77" s="54"/>
      <c r="FS77" s="54"/>
      <c r="FT77" s="54"/>
      <c r="FU77" s="54"/>
    </row>
    <row r="78" spans="1:177" s="10" customFormat="1" ht="18">
      <c r="A78" s="112" t="s">
        <v>332</v>
      </c>
      <c r="B78" s="113" t="s">
        <v>333</v>
      </c>
      <c r="C78" s="114">
        <f t="shared" ref="C78:I78" si="14">C79+C80+C85+C86+C94</f>
        <v>979060.1</v>
      </c>
      <c r="D78" s="114">
        <f t="shared" si="14"/>
        <v>3104631.63</v>
      </c>
      <c r="E78" s="114">
        <f t="shared" si="14"/>
        <v>486414.4</v>
      </c>
      <c r="F78" s="114">
        <f t="shared" si="14"/>
        <v>466000</v>
      </c>
      <c r="G78" s="114">
        <f t="shared" si="14"/>
        <v>26215.787601611868</v>
      </c>
      <c r="H78" s="114">
        <f t="shared" si="14"/>
        <v>27297.539623196666</v>
      </c>
      <c r="I78" s="114">
        <f t="shared" si="14"/>
        <v>28402.370898001398</v>
      </c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69"/>
      <c r="CA78" s="69"/>
      <c r="CB78" s="69"/>
      <c r="CC78" s="69"/>
      <c r="CD78" s="69"/>
      <c r="CE78" s="69"/>
      <c r="CF78" s="69"/>
      <c r="CG78" s="69"/>
      <c r="CH78" s="69"/>
      <c r="CI78" s="69"/>
      <c r="CJ78" s="69"/>
      <c r="CK78" s="69"/>
      <c r="CL78" s="69"/>
      <c r="CM78" s="69"/>
      <c r="CN78" s="69"/>
      <c r="CO78" s="69"/>
      <c r="CP78" s="69"/>
      <c r="CQ78" s="69"/>
      <c r="CR78" s="69"/>
      <c r="CS78" s="69"/>
      <c r="CT78" s="69"/>
      <c r="CU78" s="69"/>
      <c r="CV78" s="69"/>
      <c r="CW78" s="69"/>
      <c r="CX78" s="69"/>
      <c r="CY78" s="69"/>
      <c r="CZ78" s="69"/>
      <c r="DA78" s="69"/>
      <c r="DB78" s="69"/>
      <c r="DC78" s="69"/>
      <c r="DD78" s="69"/>
      <c r="DE78" s="69"/>
      <c r="DF78" s="69"/>
      <c r="DG78" s="69"/>
      <c r="DH78" s="69"/>
      <c r="DI78" s="69"/>
      <c r="DJ78" s="69"/>
      <c r="DK78" s="69"/>
      <c r="DL78" s="69"/>
      <c r="DM78" s="69"/>
      <c r="DN78" s="69"/>
      <c r="DO78" s="69"/>
      <c r="DP78" s="69"/>
      <c r="DQ78" s="69"/>
      <c r="DR78" s="69"/>
      <c r="DS78" s="69"/>
      <c r="DT78" s="69"/>
      <c r="DU78" s="69"/>
      <c r="DV78" s="69"/>
      <c r="DW78" s="69"/>
      <c r="DX78" s="69"/>
      <c r="DY78" s="69"/>
      <c r="DZ78" s="69"/>
      <c r="EA78" s="69"/>
      <c r="EB78" s="69"/>
      <c r="EC78" s="69"/>
      <c r="ED78" s="69"/>
      <c r="EE78" s="69"/>
      <c r="EF78" s="69"/>
      <c r="EG78" s="69"/>
      <c r="EH78" s="69"/>
      <c r="EI78" s="69"/>
      <c r="EJ78" s="69"/>
      <c r="EK78" s="69"/>
      <c r="EL78" s="69"/>
      <c r="EM78" s="69"/>
      <c r="EN78" s="69"/>
      <c r="EO78" s="69"/>
      <c r="EP78" s="69"/>
      <c r="EQ78" s="69"/>
      <c r="ER78" s="69"/>
      <c r="ES78" s="69"/>
      <c r="ET78" s="69"/>
      <c r="EU78" s="69"/>
      <c r="EV78" s="69"/>
      <c r="EW78" s="69"/>
      <c r="EX78" s="69"/>
      <c r="EY78" s="69"/>
      <c r="EZ78" s="69"/>
      <c r="FA78" s="69"/>
      <c r="FB78" s="69"/>
      <c r="FC78" s="69"/>
      <c r="FD78" s="69"/>
      <c r="FE78" s="69"/>
      <c r="FF78" s="69"/>
      <c r="FG78" s="69"/>
      <c r="FH78" s="69"/>
      <c r="FI78" s="69"/>
      <c r="FJ78" s="69"/>
      <c r="FK78" s="69"/>
      <c r="FL78" s="69"/>
      <c r="FM78" s="69"/>
      <c r="FN78" s="69"/>
      <c r="FO78" s="69"/>
      <c r="FP78" s="69"/>
      <c r="FQ78" s="69"/>
      <c r="FR78" s="69"/>
      <c r="FS78" s="69"/>
      <c r="FT78" s="69"/>
      <c r="FU78" s="69"/>
    </row>
    <row r="79" spans="1:177" s="54" customFormat="1" ht="12.75">
      <c r="A79" s="115" t="s">
        <v>334</v>
      </c>
      <c r="B79" s="116" t="s">
        <v>335</v>
      </c>
      <c r="C79" s="117">
        <v>0</v>
      </c>
      <c r="D79" s="97">
        <v>2186466.38</v>
      </c>
      <c r="E79" s="117">
        <v>49302.58</v>
      </c>
      <c r="F79" s="117">
        <v>1000</v>
      </c>
      <c r="G79" s="118">
        <f>Dívida!E20</f>
        <v>0</v>
      </c>
      <c r="H79" s="118">
        <f>Dívida!F20</f>
        <v>0</v>
      </c>
      <c r="I79" s="118">
        <f>Dívida!G20</f>
        <v>0</v>
      </c>
    </row>
    <row r="80" spans="1:177" s="7" customFormat="1" ht="12.75">
      <c r="A80" s="112" t="s">
        <v>336</v>
      </c>
      <c r="B80" s="113" t="s">
        <v>337</v>
      </c>
      <c r="C80" s="114">
        <f t="shared" ref="C80:I80" si="15">C81+C82+C83+C84</f>
        <v>82265</v>
      </c>
      <c r="D80" s="114">
        <f t="shared" si="15"/>
        <v>0</v>
      </c>
      <c r="E80" s="114">
        <f t="shared" si="15"/>
        <v>0</v>
      </c>
      <c r="F80" s="114">
        <f t="shared" si="15"/>
        <v>50000</v>
      </c>
      <c r="G80" s="114">
        <f t="shared" si="15"/>
        <v>0</v>
      </c>
      <c r="H80" s="114">
        <f t="shared" si="15"/>
        <v>0</v>
      </c>
      <c r="I80" s="114">
        <f t="shared" si="15"/>
        <v>0</v>
      </c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3"/>
      <c r="BS80" s="53"/>
      <c r="BT80" s="53"/>
      <c r="BU80" s="53"/>
      <c r="BV80" s="53"/>
      <c r="BW80" s="53"/>
      <c r="BX80" s="53"/>
      <c r="BY80" s="53"/>
      <c r="BZ80" s="53"/>
      <c r="CA80" s="53"/>
      <c r="CB80" s="53"/>
      <c r="CC80" s="53"/>
      <c r="CD80" s="53"/>
      <c r="CE80" s="53"/>
      <c r="CF80" s="53"/>
      <c r="CG80" s="53"/>
      <c r="CH80" s="53"/>
      <c r="CI80" s="53"/>
      <c r="CJ80" s="53"/>
      <c r="CK80" s="53"/>
      <c r="CL80" s="53"/>
      <c r="CM80" s="53"/>
      <c r="CN80" s="53"/>
      <c r="CO80" s="53"/>
      <c r="CP80" s="53"/>
      <c r="CQ80" s="53"/>
      <c r="CR80" s="53"/>
      <c r="CS80" s="53"/>
      <c r="CT80" s="53"/>
      <c r="CU80" s="53"/>
      <c r="CV80" s="53"/>
      <c r="CW80" s="53"/>
      <c r="CX80" s="53"/>
      <c r="CY80" s="53"/>
      <c r="CZ80" s="53"/>
      <c r="DA80" s="53"/>
      <c r="DB80" s="53"/>
      <c r="DC80" s="53"/>
      <c r="DD80" s="53"/>
      <c r="DE80" s="53"/>
      <c r="DF80" s="53"/>
      <c r="DG80" s="53"/>
      <c r="DH80" s="53"/>
      <c r="DI80" s="53"/>
      <c r="DJ80" s="53"/>
      <c r="DK80" s="53"/>
      <c r="DL80" s="53"/>
      <c r="DM80" s="53"/>
      <c r="DN80" s="53"/>
      <c r="DO80" s="53"/>
      <c r="DP80" s="53"/>
      <c r="DQ80" s="53"/>
      <c r="DR80" s="53"/>
      <c r="DS80" s="53"/>
      <c r="DT80" s="53"/>
      <c r="DU80" s="53"/>
      <c r="DV80" s="53"/>
      <c r="DW80" s="53"/>
      <c r="DX80" s="53"/>
      <c r="DY80" s="53"/>
      <c r="DZ80" s="53"/>
      <c r="EA80" s="53"/>
      <c r="EB80" s="53"/>
      <c r="EC80" s="53"/>
      <c r="ED80" s="53"/>
      <c r="EE80" s="53"/>
      <c r="EF80" s="53"/>
      <c r="EG80" s="53"/>
      <c r="EH80" s="53"/>
      <c r="EI80" s="53"/>
      <c r="EJ80" s="53"/>
      <c r="EK80" s="53"/>
      <c r="EL80" s="53"/>
      <c r="EM80" s="53"/>
      <c r="EN80" s="53"/>
      <c r="EO80" s="53"/>
      <c r="EP80" s="53"/>
      <c r="EQ80" s="53"/>
      <c r="ER80" s="53"/>
      <c r="ES80" s="53"/>
      <c r="ET80" s="53"/>
      <c r="EU80" s="53"/>
      <c r="EV80" s="53"/>
      <c r="EW80" s="53"/>
      <c r="EX80" s="53"/>
      <c r="EY80" s="53"/>
      <c r="EZ80" s="53"/>
      <c r="FA80" s="53"/>
      <c r="FB80" s="53"/>
      <c r="FC80" s="53"/>
      <c r="FD80" s="53"/>
      <c r="FE80" s="53"/>
      <c r="FF80" s="53"/>
      <c r="FG80" s="53"/>
      <c r="FH80" s="53"/>
      <c r="FI80" s="53"/>
      <c r="FJ80" s="53"/>
      <c r="FK80" s="53"/>
      <c r="FL80" s="53"/>
      <c r="FM80" s="53"/>
      <c r="FN80" s="53"/>
      <c r="FO80" s="53"/>
      <c r="FP80" s="53"/>
      <c r="FQ80" s="53"/>
      <c r="FR80" s="53"/>
      <c r="FS80" s="53"/>
      <c r="FT80" s="53"/>
      <c r="FU80" s="53"/>
    </row>
    <row r="81" spans="1:177" s="7" customFormat="1" ht="12.75">
      <c r="A81" s="115" t="s">
        <v>537</v>
      </c>
      <c r="B81" s="116" t="s">
        <v>538</v>
      </c>
      <c r="C81" s="126">
        <v>0</v>
      </c>
      <c r="D81" s="126">
        <v>0</v>
      </c>
      <c r="E81" s="126">
        <v>0</v>
      </c>
      <c r="F81" s="126">
        <v>0</v>
      </c>
      <c r="G81" s="118">
        <f>((C81+D81+E81+F81)/4)*(1+Parâmetros!E11)</f>
        <v>0</v>
      </c>
      <c r="H81" s="118">
        <f>((D81+E81+F81+G81)/4)*(1+Parâmetros!F11)</f>
        <v>0</v>
      </c>
      <c r="I81" s="118">
        <f>((E81+F81+G81+H81)/4)*(1+Parâmetros!G11)</f>
        <v>0</v>
      </c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  <c r="BR81" s="53"/>
      <c r="BS81" s="53"/>
      <c r="BT81" s="53"/>
      <c r="BU81" s="53"/>
      <c r="BV81" s="53"/>
      <c r="BW81" s="53"/>
      <c r="BX81" s="53"/>
      <c r="BY81" s="53"/>
      <c r="BZ81" s="53"/>
      <c r="CA81" s="53"/>
      <c r="CB81" s="53"/>
      <c r="CC81" s="53"/>
      <c r="CD81" s="53"/>
      <c r="CE81" s="53"/>
      <c r="CF81" s="53"/>
      <c r="CG81" s="53"/>
      <c r="CH81" s="53"/>
      <c r="CI81" s="53"/>
      <c r="CJ81" s="53"/>
      <c r="CK81" s="53"/>
      <c r="CL81" s="53"/>
      <c r="CM81" s="53"/>
      <c r="CN81" s="53"/>
      <c r="CO81" s="53"/>
      <c r="CP81" s="53"/>
      <c r="CQ81" s="53"/>
      <c r="CR81" s="53"/>
      <c r="CS81" s="53"/>
      <c r="CT81" s="53"/>
      <c r="CU81" s="53"/>
      <c r="CV81" s="53"/>
      <c r="CW81" s="53"/>
      <c r="CX81" s="53"/>
      <c r="CY81" s="53"/>
      <c r="CZ81" s="53"/>
      <c r="DA81" s="53"/>
      <c r="DB81" s="53"/>
      <c r="DC81" s="53"/>
      <c r="DD81" s="53"/>
      <c r="DE81" s="53"/>
      <c r="DF81" s="53"/>
      <c r="DG81" s="53"/>
      <c r="DH81" s="53"/>
      <c r="DI81" s="53"/>
      <c r="DJ81" s="53"/>
      <c r="DK81" s="53"/>
      <c r="DL81" s="53"/>
      <c r="DM81" s="53"/>
      <c r="DN81" s="53"/>
      <c r="DO81" s="53"/>
      <c r="DP81" s="53"/>
      <c r="DQ81" s="53"/>
      <c r="DR81" s="53"/>
      <c r="DS81" s="53"/>
      <c r="DT81" s="53"/>
      <c r="DU81" s="53"/>
      <c r="DV81" s="53"/>
      <c r="DW81" s="53"/>
      <c r="DX81" s="53"/>
      <c r="DY81" s="53"/>
      <c r="DZ81" s="53"/>
      <c r="EA81" s="53"/>
      <c r="EB81" s="53"/>
      <c r="EC81" s="53"/>
      <c r="ED81" s="53"/>
      <c r="EE81" s="53"/>
      <c r="EF81" s="53"/>
      <c r="EG81" s="53"/>
      <c r="EH81" s="53"/>
      <c r="EI81" s="53"/>
      <c r="EJ81" s="53"/>
      <c r="EK81" s="53"/>
      <c r="EL81" s="53"/>
      <c r="EM81" s="53"/>
      <c r="EN81" s="53"/>
      <c r="EO81" s="53"/>
      <c r="EP81" s="53"/>
      <c r="EQ81" s="53"/>
      <c r="ER81" s="53"/>
      <c r="ES81" s="53"/>
      <c r="ET81" s="53"/>
      <c r="EU81" s="53"/>
      <c r="EV81" s="53"/>
      <c r="EW81" s="53"/>
      <c r="EX81" s="53"/>
      <c r="EY81" s="53"/>
      <c r="EZ81" s="53"/>
      <c r="FA81" s="53"/>
      <c r="FB81" s="53"/>
      <c r="FC81" s="53"/>
      <c r="FD81" s="53"/>
      <c r="FE81" s="53"/>
      <c r="FF81" s="53"/>
      <c r="FG81" s="53"/>
      <c r="FH81" s="53"/>
      <c r="FI81" s="53"/>
      <c r="FJ81" s="53"/>
      <c r="FK81" s="53"/>
      <c r="FL81" s="53"/>
      <c r="FM81" s="53"/>
      <c r="FN81" s="53"/>
      <c r="FO81" s="53"/>
      <c r="FP81" s="53"/>
      <c r="FQ81" s="53"/>
      <c r="FR81" s="53"/>
      <c r="FS81" s="53"/>
      <c r="FT81" s="53"/>
      <c r="FU81" s="53"/>
    </row>
    <row r="82" spans="1:177" s="7" customFormat="1" ht="12.75">
      <c r="A82" s="115" t="s">
        <v>539</v>
      </c>
      <c r="B82" s="116" t="s">
        <v>540</v>
      </c>
      <c r="C82" s="126">
        <v>0</v>
      </c>
      <c r="D82" s="126">
        <v>0</v>
      </c>
      <c r="E82" s="126">
        <v>0</v>
      </c>
      <c r="F82" s="126">
        <v>0</v>
      </c>
      <c r="G82" s="118">
        <f>((C82+D82+E82+F82)/4)*(1+Parâmetros!E11)</f>
        <v>0</v>
      </c>
      <c r="H82" s="118">
        <f>((D82+E82+F82+G82)/4)*(1+Parâmetros!F11)</f>
        <v>0</v>
      </c>
      <c r="I82" s="118">
        <f>((E82+F82+G82+H82)/4)*(1+Parâmetros!G11)</f>
        <v>0</v>
      </c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3"/>
      <c r="CA82" s="53"/>
      <c r="CB82" s="53"/>
      <c r="CC82" s="53"/>
      <c r="CD82" s="53"/>
      <c r="CE82" s="53"/>
      <c r="CF82" s="53"/>
      <c r="CG82" s="53"/>
      <c r="CH82" s="53"/>
      <c r="CI82" s="53"/>
      <c r="CJ82" s="53"/>
      <c r="CK82" s="53"/>
      <c r="CL82" s="53"/>
      <c r="CM82" s="53"/>
      <c r="CN82" s="53"/>
      <c r="CO82" s="53"/>
      <c r="CP82" s="53"/>
      <c r="CQ82" s="53"/>
      <c r="CR82" s="53"/>
      <c r="CS82" s="53"/>
      <c r="CT82" s="53"/>
      <c r="CU82" s="53"/>
      <c r="CV82" s="53"/>
      <c r="CW82" s="53"/>
      <c r="CX82" s="53"/>
      <c r="CY82" s="53"/>
      <c r="CZ82" s="53"/>
      <c r="DA82" s="53"/>
      <c r="DB82" s="53"/>
      <c r="DC82" s="53"/>
      <c r="DD82" s="53"/>
      <c r="DE82" s="53"/>
      <c r="DF82" s="53"/>
      <c r="DG82" s="53"/>
      <c r="DH82" s="53"/>
      <c r="DI82" s="53"/>
      <c r="DJ82" s="53"/>
      <c r="DK82" s="53"/>
      <c r="DL82" s="53"/>
      <c r="DM82" s="53"/>
      <c r="DN82" s="53"/>
      <c r="DO82" s="53"/>
      <c r="DP82" s="53"/>
      <c r="DQ82" s="53"/>
      <c r="DR82" s="53"/>
      <c r="DS82" s="53"/>
      <c r="DT82" s="53"/>
      <c r="DU82" s="53"/>
      <c r="DV82" s="53"/>
      <c r="DW82" s="53"/>
      <c r="DX82" s="53"/>
      <c r="DY82" s="53"/>
      <c r="DZ82" s="53"/>
      <c r="EA82" s="53"/>
      <c r="EB82" s="53"/>
      <c r="EC82" s="53"/>
      <c r="ED82" s="53"/>
      <c r="EE82" s="53"/>
      <c r="EF82" s="53"/>
      <c r="EG82" s="53"/>
      <c r="EH82" s="53"/>
      <c r="EI82" s="53"/>
      <c r="EJ82" s="53"/>
      <c r="EK82" s="53"/>
      <c r="EL82" s="53"/>
      <c r="EM82" s="53"/>
      <c r="EN82" s="53"/>
      <c r="EO82" s="53"/>
      <c r="EP82" s="53"/>
      <c r="EQ82" s="53"/>
      <c r="ER82" s="53"/>
      <c r="ES82" s="53"/>
      <c r="ET82" s="53"/>
      <c r="EU82" s="53"/>
      <c r="EV82" s="53"/>
      <c r="EW82" s="53"/>
      <c r="EX82" s="53"/>
      <c r="EY82" s="53"/>
      <c r="EZ82" s="53"/>
      <c r="FA82" s="53"/>
      <c r="FB82" s="53"/>
      <c r="FC82" s="53"/>
      <c r="FD82" s="53"/>
      <c r="FE82" s="53"/>
      <c r="FF82" s="53"/>
      <c r="FG82" s="53"/>
      <c r="FH82" s="53"/>
      <c r="FI82" s="53"/>
      <c r="FJ82" s="53"/>
      <c r="FK82" s="53"/>
      <c r="FL82" s="53"/>
      <c r="FM82" s="53"/>
      <c r="FN82" s="53"/>
      <c r="FO82" s="53"/>
      <c r="FP82" s="53"/>
      <c r="FQ82" s="53"/>
      <c r="FR82" s="53"/>
      <c r="FS82" s="53"/>
      <c r="FT82" s="53"/>
      <c r="FU82" s="53"/>
    </row>
    <row r="83" spans="1:177" s="54" customFormat="1" ht="12.75">
      <c r="A83" s="115" t="s">
        <v>338</v>
      </c>
      <c r="B83" s="116" t="s">
        <v>339</v>
      </c>
      <c r="C83" s="97">
        <v>82265</v>
      </c>
      <c r="D83" s="117">
        <v>0</v>
      </c>
      <c r="E83" s="117">
        <v>0</v>
      </c>
      <c r="F83" s="117">
        <v>50000</v>
      </c>
      <c r="G83" s="118">
        <v>0</v>
      </c>
      <c r="H83" s="118">
        <f>G83*(1+Parâmetros!F11)</f>
        <v>0</v>
      </c>
      <c r="I83" s="118">
        <f>H83*(1+Parâmetros!G11)</f>
        <v>0</v>
      </c>
    </row>
    <row r="84" spans="1:177" s="54" customFormat="1" ht="12.75">
      <c r="A84" s="115" t="s">
        <v>340</v>
      </c>
      <c r="B84" s="116" t="s">
        <v>341</v>
      </c>
      <c r="C84" s="117">
        <v>0</v>
      </c>
      <c r="D84" s="117">
        <v>0</v>
      </c>
      <c r="E84" s="117">
        <v>0</v>
      </c>
      <c r="F84" s="117">
        <v>0</v>
      </c>
      <c r="G84" s="118">
        <f>(((D84*(1+Parâmetros!B11)*(1+Parâmetros!C11)*(1+Parâmetros!D11))+(E84*(1+Parâmetros!C11)*(1+Parâmetros!D11)+(F84*(1+Parâmetros!D11))))/3)*(1+Parâmetros!E11)</f>
        <v>0</v>
      </c>
      <c r="H84" s="118">
        <f>G84*(1+Parâmetros!F11)</f>
        <v>0</v>
      </c>
      <c r="I84" s="118">
        <f>H84*(1+Parâmetros!G11)</f>
        <v>0</v>
      </c>
    </row>
    <row r="85" spans="1:177" s="54" customFormat="1" ht="12.75">
      <c r="A85" s="115" t="s">
        <v>342</v>
      </c>
      <c r="B85" s="116" t="s">
        <v>343</v>
      </c>
      <c r="C85" s="97">
        <v>29447.03</v>
      </c>
      <c r="D85" s="97">
        <v>27423.32</v>
      </c>
      <c r="E85" s="117">
        <v>23947.02</v>
      </c>
      <c r="F85" s="117">
        <v>15000</v>
      </c>
      <c r="G85" s="118">
        <f>(((D85*(1+Parâmetros!B11)*(1+Parâmetros!C11)*(1+Parâmetros!D11))+(E85*(1+Parâmetros!C11)*(1+Parâmetros!D11)+(F85*(1+Parâmetros!D11))))/3)*(1+Parâmetros!E11)</f>
        <v>25215.787601611868</v>
      </c>
      <c r="H85" s="118">
        <f>G85*(1+Parâmetros!F11)</f>
        <v>26229.462263196667</v>
      </c>
      <c r="I85" s="118">
        <f>H85*(1+Parâmetros!G11)</f>
        <v>27262.90307636662</v>
      </c>
    </row>
    <row r="86" spans="1:177" s="7" customFormat="1" ht="12.75">
      <c r="A86" s="112" t="s">
        <v>344</v>
      </c>
      <c r="B86" s="113" t="s">
        <v>345</v>
      </c>
      <c r="C86" s="114">
        <f t="shared" ref="C86:I86" si="16">C87+C88+C89+C90+C91+C92+C93</f>
        <v>867348.07</v>
      </c>
      <c r="D86" s="114">
        <f t="shared" si="16"/>
        <v>890741.93</v>
      </c>
      <c r="E86" s="114">
        <f t="shared" si="16"/>
        <v>413164.79999999999</v>
      </c>
      <c r="F86" s="114">
        <f t="shared" si="16"/>
        <v>400000</v>
      </c>
      <c r="G86" s="114">
        <f t="shared" si="16"/>
        <v>1000</v>
      </c>
      <c r="H86" s="114">
        <f t="shared" si="16"/>
        <v>1068.07736</v>
      </c>
      <c r="I86" s="114">
        <f t="shared" si="16"/>
        <v>1139.4678216347777</v>
      </c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3"/>
      <c r="BR86" s="53"/>
      <c r="BS86" s="53"/>
      <c r="BT86" s="53"/>
      <c r="BU86" s="53"/>
      <c r="BV86" s="53"/>
      <c r="BW86" s="53"/>
      <c r="BX86" s="53"/>
      <c r="BY86" s="53"/>
      <c r="BZ86" s="53"/>
      <c r="CA86" s="53"/>
      <c r="CB86" s="53"/>
      <c r="CC86" s="53"/>
      <c r="CD86" s="53"/>
      <c r="CE86" s="53"/>
      <c r="CF86" s="53"/>
      <c r="CG86" s="53"/>
      <c r="CH86" s="53"/>
      <c r="CI86" s="53"/>
      <c r="CJ86" s="53"/>
      <c r="CK86" s="53"/>
      <c r="CL86" s="53"/>
      <c r="CM86" s="53"/>
      <c r="CN86" s="53"/>
      <c r="CO86" s="53"/>
      <c r="CP86" s="53"/>
      <c r="CQ86" s="53"/>
      <c r="CR86" s="53"/>
      <c r="CS86" s="53"/>
      <c r="CT86" s="53"/>
      <c r="CU86" s="53"/>
      <c r="CV86" s="53"/>
      <c r="CW86" s="53"/>
      <c r="CX86" s="53"/>
      <c r="CY86" s="53"/>
      <c r="CZ86" s="53"/>
      <c r="DA86" s="53"/>
      <c r="DB86" s="53"/>
      <c r="DC86" s="53"/>
      <c r="DD86" s="53"/>
      <c r="DE86" s="53"/>
      <c r="DF86" s="53"/>
      <c r="DG86" s="53"/>
      <c r="DH86" s="53"/>
      <c r="DI86" s="53"/>
      <c r="DJ86" s="53"/>
      <c r="DK86" s="53"/>
      <c r="DL86" s="53"/>
      <c r="DM86" s="53"/>
      <c r="DN86" s="53"/>
      <c r="DO86" s="53"/>
      <c r="DP86" s="53"/>
      <c r="DQ86" s="53"/>
      <c r="DR86" s="53"/>
      <c r="DS86" s="53"/>
      <c r="DT86" s="53"/>
      <c r="DU86" s="53"/>
      <c r="DV86" s="53"/>
      <c r="DW86" s="53"/>
      <c r="DX86" s="53"/>
      <c r="DY86" s="53"/>
      <c r="DZ86" s="53"/>
      <c r="EA86" s="53"/>
      <c r="EB86" s="53"/>
      <c r="EC86" s="53"/>
      <c r="ED86" s="53"/>
      <c r="EE86" s="53"/>
      <c r="EF86" s="53"/>
      <c r="EG86" s="53"/>
      <c r="EH86" s="53"/>
      <c r="EI86" s="53"/>
      <c r="EJ86" s="53"/>
      <c r="EK86" s="53"/>
      <c r="EL86" s="53"/>
      <c r="EM86" s="53"/>
      <c r="EN86" s="53"/>
      <c r="EO86" s="53"/>
      <c r="EP86" s="53"/>
      <c r="EQ86" s="53"/>
      <c r="ER86" s="53"/>
      <c r="ES86" s="53"/>
      <c r="ET86" s="53"/>
      <c r="EU86" s="53"/>
      <c r="EV86" s="53"/>
      <c r="EW86" s="53"/>
      <c r="EX86" s="53"/>
      <c r="EY86" s="53"/>
      <c r="EZ86" s="53"/>
      <c r="FA86" s="53"/>
      <c r="FB86" s="53"/>
      <c r="FC86" s="53"/>
      <c r="FD86" s="53"/>
      <c r="FE86" s="53"/>
      <c r="FF86" s="53"/>
      <c r="FG86" s="53"/>
      <c r="FH86" s="53"/>
      <c r="FI86" s="53"/>
      <c r="FJ86" s="53"/>
      <c r="FK86" s="53"/>
      <c r="FL86" s="53"/>
      <c r="FM86" s="53"/>
      <c r="FN86" s="53"/>
      <c r="FO86" s="53"/>
      <c r="FP86" s="53"/>
      <c r="FQ86" s="53"/>
      <c r="FR86" s="53"/>
      <c r="FS86" s="53"/>
      <c r="FT86" s="53"/>
      <c r="FU86" s="53"/>
    </row>
    <row r="87" spans="1:177" customFormat="1" ht="12.75">
      <c r="A87" s="115" t="s">
        <v>346</v>
      </c>
      <c r="B87" s="116" t="s">
        <v>266</v>
      </c>
      <c r="C87" s="97">
        <v>867348.07</v>
      </c>
      <c r="D87" s="97">
        <v>890741.93</v>
      </c>
      <c r="E87" s="117">
        <v>413164.79999999999</v>
      </c>
      <c r="F87" s="117">
        <v>400000</v>
      </c>
      <c r="G87" s="118">
        <v>1000</v>
      </c>
      <c r="H87" s="118">
        <f>G87*(1+Parâmetros!F11)*(1+Parâmetros!F12)</f>
        <v>1068.07736</v>
      </c>
      <c r="I87" s="118">
        <f>H87*(1+Parâmetros!G11)*(1+Parâmetros!G12)</f>
        <v>1139.4678216347777</v>
      </c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54"/>
      <c r="CW87" s="54"/>
      <c r="CX87" s="54"/>
      <c r="CY87" s="54"/>
      <c r="CZ87" s="54"/>
      <c r="DA87" s="54"/>
      <c r="DB87" s="54"/>
      <c r="DC87" s="54"/>
      <c r="DD87" s="54"/>
      <c r="DE87" s="54"/>
      <c r="DF87" s="54"/>
      <c r="DG87" s="54"/>
      <c r="DH87" s="54"/>
      <c r="DI87" s="54"/>
      <c r="DJ87" s="54"/>
      <c r="DK87" s="54"/>
      <c r="DL87" s="54"/>
      <c r="DM87" s="54"/>
      <c r="DN87" s="54"/>
      <c r="DO87" s="54"/>
      <c r="DP87" s="54"/>
      <c r="DQ87" s="54"/>
      <c r="DR87" s="54"/>
      <c r="DS87" s="54"/>
      <c r="DT87" s="54"/>
      <c r="DU87" s="54"/>
      <c r="DV87" s="54"/>
      <c r="DW87" s="54"/>
      <c r="DX87" s="54"/>
      <c r="DY87" s="54"/>
      <c r="DZ87" s="54"/>
      <c r="EA87" s="54"/>
      <c r="EB87" s="54"/>
      <c r="EC87" s="54"/>
      <c r="ED87" s="54"/>
      <c r="EE87" s="54"/>
      <c r="EF87" s="54"/>
      <c r="EG87" s="54"/>
      <c r="EH87" s="54"/>
      <c r="EI87" s="54"/>
      <c r="EJ87" s="54"/>
      <c r="EK87" s="54"/>
      <c r="EL87" s="54"/>
      <c r="EM87" s="54"/>
      <c r="EN87" s="54"/>
      <c r="EO87" s="54"/>
      <c r="EP87" s="54"/>
      <c r="EQ87" s="54"/>
      <c r="ER87" s="54"/>
      <c r="ES87" s="54"/>
      <c r="ET87" s="54"/>
      <c r="EU87" s="54"/>
      <c r="EV87" s="54"/>
      <c r="EW87" s="54"/>
      <c r="EX87" s="54"/>
      <c r="EY87" s="54"/>
      <c r="EZ87" s="54"/>
      <c r="FA87" s="54"/>
      <c r="FB87" s="54"/>
      <c r="FC87" s="54"/>
      <c r="FD87" s="54"/>
      <c r="FE87" s="54"/>
      <c r="FF87" s="54"/>
      <c r="FG87" s="54"/>
      <c r="FH87" s="54"/>
      <c r="FI87" s="54"/>
      <c r="FJ87" s="54"/>
      <c r="FK87" s="54"/>
      <c r="FL87" s="54"/>
      <c r="FM87" s="54"/>
      <c r="FN87" s="54"/>
      <c r="FO87" s="54"/>
      <c r="FP87" s="54"/>
      <c r="FQ87" s="54"/>
      <c r="FR87" s="54"/>
      <c r="FS87" s="54"/>
      <c r="FT87" s="54"/>
      <c r="FU87" s="54"/>
    </row>
    <row r="88" spans="1:177" customFormat="1" ht="25.5">
      <c r="A88" s="115" t="s">
        <v>347</v>
      </c>
      <c r="B88" s="116" t="s">
        <v>288</v>
      </c>
      <c r="C88" s="117">
        <v>0</v>
      </c>
      <c r="D88" s="117">
        <v>0</v>
      </c>
      <c r="E88" s="117">
        <v>0</v>
      </c>
      <c r="F88" s="117">
        <v>0</v>
      </c>
      <c r="G88" s="118">
        <f>(((D88*(1+Parâmetros!B11)*(1+Parâmetros!C11)*(1+Parâmetros!D11))+(E88*(1+Parâmetros!C11)*(1+Parâmetros!D11)+(F88*(1+Parâmetros!D11))))/3)*(1+Parâmetros!E11)*(1+Parâmetros!E12)</f>
        <v>0</v>
      </c>
      <c r="H88" s="118">
        <f>G88*(1+Parâmetros!F11)*(1+Parâmetros!F12)</f>
        <v>0</v>
      </c>
      <c r="I88" s="118">
        <f>H88*(1+Parâmetros!G11)*(1+Parâmetros!G12)</f>
        <v>0</v>
      </c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54"/>
      <c r="CX88" s="54"/>
      <c r="CY88" s="54"/>
      <c r="CZ88" s="54"/>
      <c r="DA88" s="54"/>
      <c r="DB88" s="54"/>
      <c r="DC88" s="54"/>
      <c r="DD88" s="54"/>
      <c r="DE88" s="54"/>
      <c r="DF88" s="54"/>
      <c r="DG88" s="54"/>
      <c r="DH88" s="54"/>
      <c r="DI88" s="54"/>
      <c r="DJ88" s="54"/>
      <c r="DK88" s="54"/>
      <c r="DL88" s="54"/>
      <c r="DM88" s="54"/>
      <c r="DN88" s="54"/>
      <c r="DO88" s="54"/>
      <c r="DP88" s="54"/>
      <c r="DQ88" s="54"/>
      <c r="DR88" s="54"/>
      <c r="DS88" s="54"/>
      <c r="DT88" s="54"/>
      <c r="DU88" s="54"/>
      <c r="DV88" s="54"/>
      <c r="DW88" s="54"/>
      <c r="DX88" s="54"/>
      <c r="DY88" s="54"/>
      <c r="DZ88" s="54"/>
      <c r="EA88" s="54"/>
      <c r="EB88" s="54"/>
      <c r="EC88" s="54"/>
      <c r="ED88" s="54"/>
      <c r="EE88" s="54"/>
      <c r="EF88" s="54"/>
      <c r="EG88" s="54"/>
      <c r="EH88" s="54"/>
      <c r="EI88" s="54"/>
      <c r="EJ88" s="54"/>
      <c r="EK88" s="54"/>
      <c r="EL88" s="54"/>
      <c r="EM88" s="54"/>
      <c r="EN88" s="54"/>
      <c r="EO88" s="54"/>
      <c r="EP88" s="54"/>
      <c r="EQ88" s="54"/>
      <c r="ER88" s="54"/>
      <c r="ES88" s="54"/>
      <c r="ET88" s="54"/>
      <c r="EU88" s="54"/>
      <c r="EV88" s="54"/>
      <c r="EW88" s="54"/>
      <c r="EX88" s="54"/>
      <c r="EY88" s="54"/>
      <c r="EZ88" s="54"/>
      <c r="FA88" s="54"/>
      <c r="FB88" s="54"/>
      <c r="FC88" s="54"/>
      <c r="FD88" s="54"/>
      <c r="FE88" s="54"/>
      <c r="FF88" s="54"/>
      <c r="FG88" s="54"/>
      <c r="FH88" s="54"/>
      <c r="FI88" s="54"/>
      <c r="FJ88" s="54"/>
      <c r="FK88" s="54"/>
      <c r="FL88" s="54"/>
      <c r="FM88" s="54"/>
      <c r="FN88" s="54"/>
      <c r="FO88" s="54"/>
      <c r="FP88" s="54"/>
      <c r="FQ88" s="54"/>
      <c r="FR88" s="54"/>
      <c r="FS88" s="54"/>
      <c r="FT88" s="54"/>
      <c r="FU88" s="54"/>
    </row>
    <row r="89" spans="1:177" customFormat="1" ht="12.75">
      <c r="A89" s="115" t="s">
        <v>348</v>
      </c>
      <c r="B89" s="116" t="s">
        <v>309</v>
      </c>
      <c r="C89" s="117">
        <v>0</v>
      </c>
      <c r="D89" s="117">
        <v>0</v>
      </c>
      <c r="E89" s="117">
        <v>0</v>
      </c>
      <c r="F89" s="117">
        <v>0</v>
      </c>
      <c r="G89" s="118">
        <f>(((D89*(1+Parâmetros!B11)*(1+Parâmetros!C11)*(1+Parâmetros!D11))+(E89*(1+Parâmetros!C11)*(1+Parâmetros!D11)+(F89*(1+Parâmetros!D11))))/3)*(1+Parâmetros!E11)*(1+Parâmetros!E12)</f>
        <v>0</v>
      </c>
      <c r="H89" s="118">
        <f>G89*(1+Parâmetros!F11)*(1+Parâmetros!F12)</f>
        <v>0</v>
      </c>
      <c r="I89" s="118">
        <f>H89*(1+Parâmetros!G11)*(1+Parâmetros!G12)</f>
        <v>0</v>
      </c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54"/>
      <c r="DJ89" s="54"/>
      <c r="DK89" s="54"/>
      <c r="DL89" s="54"/>
      <c r="DM89" s="54"/>
      <c r="DN89" s="54"/>
      <c r="DO89" s="54"/>
      <c r="DP89" s="54"/>
      <c r="DQ89" s="54"/>
      <c r="DR89" s="54"/>
      <c r="DS89" s="54"/>
      <c r="DT89" s="54"/>
      <c r="DU89" s="54"/>
      <c r="DV89" s="54"/>
      <c r="DW89" s="54"/>
      <c r="DX89" s="54"/>
      <c r="DY89" s="54"/>
      <c r="DZ89" s="54"/>
      <c r="EA89" s="54"/>
      <c r="EB89" s="54"/>
      <c r="EC89" s="54"/>
      <c r="ED89" s="54"/>
      <c r="EE89" s="54"/>
      <c r="EF89" s="54"/>
      <c r="EG89" s="54"/>
      <c r="EH89" s="54"/>
      <c r="EI89" s="54"/>
      <c r="EJ89" s="54"/>
      <c r="EK89" s="54"/>
      <c r="EL89" s="54"/>
      <c r="EM89" s="54"/>
      <c r="EN89" s="54"/>
      <c r="EO89" s="54"/>
      <c r="EP89" s="54"/>
      <c r="EQ89" s="54"/>
      <c r="ER89" s="54"/>
      <c r="ES89" s="54"/>
      <c r="ET89" s="54"/>
      <c r="EU89" s="54"/>
      <c r="EV89" s="54"/>
      <c r="EW89" s="54"/>
      <c r="EX89" s="54"/>
      <c r="EY89" s="54"/>
      <c r="EZ89" s="54"/>
      <c r="FA89" s="54"/>
      <c r="FB89" s="54"/>
      <c r="FC89" s="54"/>
      <c r="FD89" s="54"/>
      <c r="FE89" s="54"/>
      <c r="FF89" s="54"/>
      <c r="FG89" s="54"/>
      <c r="FH89" s="54"/>
      <c r="FI89" s="54"/>
      <c r="FJ89" s="54"/>
      <c r="FK89" s="54"/>
      <c r="FL89" s="54"/>
      <c r="FM89" s="54"/>
      <c r="FN89" s="54"/>
      <c r="FO89" s="54"/>
      <c r="FP89" s="54"/>
      <c r="FQ89" s="54"/>
      <c r="FR89" s="54"/>
      <c r="FS89" s="54"/>
      <c r="FT89" s="54"/>
      <c r="FU89" s="54"/>
    </row>
    <row r="90" spans="1:177" customFormat="1" ht="12.75">
      <c r="A90" s="115" t="s">
        <v>349</v>
      </c>
      <c r="B90" s="116" t="s">
        <v>311</v>
      </c>
      <c r="C90" s="117">
        <v>0</v>
      </c>
      <c r="D90" s="117">
        <v>0</v>
      </c>
      <c r="E90" s="117">
        <v>0</v>
      </c>
      <c r="F90" s="117">
        <v>0</v>
      </c>
      <c r="G90" s="118">
        <f>(((D90*(1+Parâmetros!B11)*(1+Parâmetros!C11)*(1+Parâmetros!D11))+(E90*(1+Parâmetros!C11)*(1+Parâmetros!D11)+(F90*(1+Parâmetros!D11))))/3)*(1+Parâmetros!E11)*(1+Parâmetros!E12)</f>
        <v>0</v>
      </c>
      <c r="H90" s="118">
        <f>G90*(1+Parâmetros!F11)*(1+Parâmetros!F12)</f>
        <v>0</v>
      </c>
      <c r="I90" s="118">
        <f>H90*(1+Parâmetros!G11)*(1+Parâmetros!G12)</f>
        <v>0</v>
      </c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4"/>
      <c r="DH90" s="54"/>
      <c r="DI90" s="54"/>
      <c r="DJ90" s="54"/>
      <c r="DK90" s="54"/>
      <c r="DL90" s="54"/>
      <c r="DM90" s="54"/>
      <c r="DN90" s="54"/>
      <c r="DO90" s="54"/>
      <c r="DP90" s="54"/>
      <c r="DQ90" s="54"/>
      <c r="DR90" s="54"/>
      <c r="DS90" s="54"/>
      <c r="DT90" s="54"/>
      <c r="DU90" s="54"/>
      <c r="DV90" s="54"/>
      <c r="DW90" s="54"/>
      <c r="DX90" s="54"/>
      <c r="DY90" s="54"/>
      <c r="DZ90" s="54"/>
      <c r="EA90" s="54"/>
      <c r="EB90" s="54"/>
      <c r="EC90" s="54"/>
      <c r="ED90" s="54"/>
      <c r="EE90" s="54"/>
      <c r="EF90" s="54"/>
      <c r="EG90" s="54"/>
      <c r="EH90" s="54"/>
      <c r="EI90" s="54"/>
      <c r="EJ90" s="54"/>
      <c r="EK90" s="54"/>
      <c r="EL90" s="54"/>
      <c r="EM90" s="54"/>
      <c r="EN90" s="54"/>
      <c r="EO90" s="54"/>
      <c r="EP90" s="54"/>
      <c r="EQ90" s="54"/>
      <c r="ER90" s="54"/>
      <c r="ES90" s="54"/>
      <c r="ET90" s="54"/>
      <c r="EU90" s="54"/>
      <c r="EV90" s="54"/>
      <c r="EW90" s="54"/>
      <c r="EX90" s="54"/>
      <c r="EY90" s="54"/>
      <c r="EZ90" s="54"/>
      <c r="FA90" s="54"/>
      <c r="FB90" s="54"/>
      <c r="FC90" s="54"/>
      <c r="FD90" s="54"/>
      <c r="FE90" s="54"/>
      <c r="FF90" s="54"/>
      <c r="FG90" s="54"/>
      <c r="FH90" s="54"/>
      <c r="FI90" s="54"/>
      <c r="FJ90" s="54"/>
      <c r="FK90" s="54"/>
      <c r="FL90" s="54"/>
      <c r="FM90" s="54"/>
      <c r="FN90" s="54"/>
      <c r="FO90" s="54"/>
      <c r="FP90" s="54"/>
      <c r="FQ90" s="54"/>
      <c r="FR90" s="54"/>
      <c r="FS90" s="54"/>
      <c r="FT90" s="54"/>
      <c r="FU90" s="54"/>
    </row>
    <row r="91" spans="1:177" customFormat="1" ht="12.75">
      <c r="A91" s="115" t="s">
        <v>350</v>
      </c>
      <c r="B91" s="116" t="s">
        <v>312</v>
      </c>
      <c r="C91" s="117">
        <v>0</v>
      </c>
      <c r="D91" s="117">
        <v>0</v>
      </c>
      <c r="E91" s="117">
        <v>0</v>
      </c>
      <c r="F91" s="117">
        <v>0</v>
      </c>
      <c r="G91" s="118">
        <f>(((D91*(1+Parâmetros!B11)*(1+Parâmetros!C11)*(1+Parâmetros!D11))+(E91*(1+Parâmetros!C11)*(1+Parâmetros!D11)+(F91*(1+Parâmetros!D11))))/3)*(1+Parâmetros!E11)*(1+Parâmetros!E12)</f>
        <v>0</v>
      </c>
      <c r="H91" s="118">
        <f>G91:G92*(1+Parâmetros!F11)*(1+Parâmetros!F12)</f>
        <v>0</v>
      </c>
      <c r="I91" s="118">
        <f>H91:H92*(1+Parâmetros!G11)*(1+Parâmetros!G12)</f>
        <v>0</v>
      </c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54"/>
      <c r="CP91" s="54"/>
      <c r="CQ91" s="54"/>
      <c r="CR91" s="54"/>
      <c r="CS91" s="54"/>
      <c r="CT91" s="54"/>
      <c r="CU91" s="54"/>
      <c r="CV91" s="54"/>
      <c r="CW91" s="54"/>
      <c r="CX91" s="54"/>
      <c r="CY91" s="54"/>
      <c r="CZ91" s="54"/>
      <c r="DA91" s="54"/>
      <c r="DB91" s="54"/>
      <c r="DC91" s="54"/>
      <c r="DD91" s="54"/>
      <c r="DE91" s="54"/>
      <c r="DF91" s="54"/>
      <c r="DG91" s="54"/>
      <c r="DH91" s="54"/>
      <c r="DI91" s="54"/>
      <c r="DJ91" s="54"/>
      <c r="DK91" s="54"/>
      <c r="DL91" s="54"/>
      <c r="DM91" s="54"/>
      <c r="DN91" s="54"/>
      <c r="DO91" s="54"/>
      <c r="DP91" s="54"/>
      <c r="DQ91" s="54"/>
      <c r="DR91" s="54"/>
      <c r="DS91" s="54"/>
      <c r="DT91" s="54"/>
      <c r="DU91" s="54"/>
      <c r="DV91" s="54"/>
      <c r="DW91" s="54"/>
      <c r="DX91" s="54"/>
      <c r="DY91" s="54"/>
      <c r="DZ91" s="54"/>
      <c r="EA91" s="54"/>
      <c r="EB91" s="54"/>
      <c r="EC91" s="54"/>
      <c r="ED91" s="54"/>
      <c r="EE91" s="54"/>
      <c r="EF91" s="54"/>
      <c r="EG91" s="54"/>
      <c r="EH91" s="54"/>
      <c r="EI91" s="54"/>
      <c r="EJ91" s="54"/>
      <c r="EK91" s="54"/>
      <c r="EL91" s="54"/>
      <c r="EM91" s="54"/>
      <c r="EN91" s="54"/>
      <c r="EO91" s="54"/>
      <c r="EP91" s="54"/>
      <c r="EQ91" s="54"/>
      <c r="ER91" s="54"/>
      <c r="ES91" s="54"/>
      <c r="ET91" s="54"/>
      <c r="EU91" s="54"/>
      <c r="EV91" s="54"/>
      <c r="EW91" s="54"/>
      <c r="EX91" s="54"/>
      <c r="EY91" s="54"/>
      <c r="EZ91" s="54"/>
      <c r="FA91" s="54"/>
      <c r="FB91" s="54"/>
      <c r="FC91" s="54"/>
      <c r="FD91" s="54"/>
      <c r="FE91" s="54"/>
      <c r="FF91" s="54"/>
      <c r="FG91" s="54"/>
      <c r="FH91" s="54"/>
      <c r="FI91" s="54"/>
      <c r="FJ91" s="54"/>
      <c r="FK91" s="54"/>
      <c r="FL91" s="54"/>
      <c r="FM91" s="54"/>
      <c r="FN91" s="54"/>
      <c r="FO91" s="54"/>
      <c r="FP91" s="54"/>
      <c r="FQ91" s="54"/>
      <c r="FR91" s="54"/>
      <c r="FS91" s="54"/>
      <c r="FT91" s="54"/>
      <c r="FU91" s="54"/>
    </row>
    <row r="92" spans="1:177" customFormat="1" ht="12.75">
      <c r="A92" s="115" t="s">
        <v>351</v>
      </c>
      <c r="B92" s="116" t="s">
        <v>314</v>
      </c>
      <c r="C92" s="117">
        <v>0</v>
      </c>
      <c r="D92" s="117">
        <v>0</v>
      </c>
      <c r="E92" s="117">
        <v>0</v>
      </c>
      <c r="F92" s="117">
        <v>0</v>
      </c>
      <c r="G92" s="118">
        <f>(((D92*(1+Parâmetros!B11)*(1+Parâmetros!C11)*(1+Parâmetros!D11))+(E92*(1+Parâmetros!C11)*(1+Parâmetros!D11)+(F92*(1+Parâmetros!D11))))/3)*(1+Parâmetros!E11)*(1+Parâmetros!E12)</f>
        <v>0</v>
      </c>
      <c r="H92" s="118">
        <f>G92*(1+Parâmetros!F11)*(1+Parâmetros!F12)</f>
        <v>0</v>
      </c>
      <c r="I92" s="118">
        <f>H92*(1+Parâmetros!G11)*(1+Parâmetros!G12)</f>
        <v>0</v>
      </c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  <c r="DL92" s="54"/>
      <c r="DM92" s="54"/>
      <c r="DN92" s="54"/>
      <c r="DO92" s="54"/>
      <c r="DP92" s="54"/>
      <c r="DQ92" s="54"/>
      <c r="DR92" s="54"/>
      <c r="DS92" s="54"/>
      <c r="DT92" s="54"/>
      <c r="DU92" s="54"/>
      <c r="DV92" s="54"/>
      <c r="DW92" s="54"/>
      <c r="DX92" s="54"/>
      <c r="DY92" s="54"/>
      <c r="DZ92" s="54"/>
      <c r="EA92" s="54"/>
      <c r="EB92" s="54"/>
      <c r="EC92" s="54"/>
      <c r="ED92" s="54"/>
      <c r="EE92" s="54"/>
      <c r="EF92" s="54"/>
      <c r="EG92" s="54"/>
      <c r="EH92" s="54"/>
      <c r="EI92" s="54"/>
      <c r="EJ92" s="54"/>
      <c r="EK92" s="54"/>
      <c r="EL92" s="54"/>
      <c r="EM92" s="54"/>
      <c r="EN92" s="54"/>
      <c r="EO92" s="54"/>
      <c r="EP92" s="54"/>
      <c r="EQ92" s="54"/>
      <c r="ER92" s="54"/>
      <c r="ES92" s="54"/>
      <c r="ET92" s="54"/>
      <c r="EU92" s="54"/>
      <c r="EV92" s="54"/>
      <c r="EW92" s="54"/>
      <c r="EX92" s="54"/>
      <c r="EY92" s="54"/>
      <c r="EZ92" s="54"/>
      <c r="FA92" s="54"/>
      <c r="FB92" s="54"/>
      <c r="FC92" s="54"/>
      <c r="FD92" s="54"/>
      <c r="FE92" s="54"/>
      <c r="FF92" s="54"/>
      <c r="FG92" s="54"/>
      <c r="FH92" s="54"/>
      <c r="FI92" s="54"/>
      <c r="FJ92" s="54"/>
      <c r="FK92" s="54"/>
      <c r="FL92" s="54"/>
      <c r="FM92" s="54"/>
      <c r="FN92" s="54"/>
      <c r="FO92" s="54"/>
      <c r="FP92" s="54"/>
      <c r="FQ92" s="54"/>
      <c r="FR92" s="54"/>
      <c r="FS92" s="54"/>
      <c r="FT92" s="54"/>
      <c r="FU92" s="54"/>
    </row>
    <row r="93" spans="1:177" customFormat="1" ht="12.75">
      <c r="A93" s="115" t="s">
        <v>352</v>
      </c>
      <c r="B93" s="116" t="s">
        <v>316</v>
      </c>
      <c r="C93" s="117">
        <v>0</v>
      </c>
      <c r="D93" s="117">
        <v>0</v>
      </c>
      <c r="E93" s="117">
        <v>0</v>
      </c>
      <c r="F93" s="117">
        <v>0</v>
      </c>
      <c r="G93" s="118">
        <f>(((D93*(1+Parâmetros!B11)*(1+Parâmetros!C11)*(1+Parâmetros!D11))+(E93*(1+Parâmetros!C11)*(1+Parâmetros!D11)+(F93*(1+Parâmetros!D11))))/3)*(1+Parâmetros!E11)*(1+Parâmetros!E12)</f>
        <v>0</v>
      </c>
      <c r="H93" s="118">
        <f>G93*(1+Parâmetros!F11)*(1+Parâmetros!F12)</f>
        <v>0</v>
      </c>
      <c r="I93" s="118">
        <f>H93*(1+Parâmetros!G11)*(1+Parâmetros!G12)</f>
        <v>0</v>
      </c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4"/>
      <c r="CS93" s="54"/>
      <c r="CT93" s="54"/>
      <c r="CU93" s="54"/>
      <c r="CV93" s="54"/>
      <c r="CW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54"/>
      <c r="DI93" s="54"/>
      <c r="DJ93" s="54"/>
      <c r="DK93" s="54"/>
      <c r="DL93" s="54"/>
      <c r="DM93" s="54"/>
      <c r="DN93" s="54"/>
      <c r="DO93" s="54"/>
      <c r="DP93" s="54"/>
      <c r="DQ93" s="54"/>
      <c r="DR93" s="54"/>
      <c r="DS93" s="54"/>
      <c r="DT93" s="54"/>
      <c r="DU93" s="54"/>
      <c r="DV93" s="54"/>
      <c r="DW93" s="54"/>
      <c r="DX93" s="54"/>
      <c r="DY93" s="54"/>
      <c r="DZ93" s="54"/>
      <c r="EA93" s="54"/>
      <c r="EB93" s="54"/>
      <c r="EC93" s="54"/>
      <c r="ED93" s="54"/>
      <c r="EE93" s="54"/>
      <c r="EF93" s="54"/>
      <c r="EG93" s="54"/>
      <c r="EH93" s="54"/>
      <c r="EI93" s="54"/>
      <c r="EJ93" s="54"/>
      <c r="EK93" s="54"/>
      <c r="EL93" s="54"/>
      <c r="EM93" s="54"/>
      <c r="EN93" s="54"/>
      <c r="EO93" s="54"/>
      <c r="EP93" s="54"/>
      <c r="EQ93" s="54"/>
      <c r="ER93" s="54"/>
      <c r="ES93" s="54"/>
      <c r="ET93" s="54"/>
      <c r="EU93" s="54"/>
      <c r="EV93" s="54"/>
      <c r="EW93" s="54"/>
      <c r="EX93" s="54"/>
      <c r="EY93" s="54"/>
      <c r="EZ93" s="54"/>
      <c r="FA93" s="54"/>
      <c r="FB93" s="54"/>
      <c r="FC93" s="54"/>
      <c r="FD93" s="54"/>
      <c r="FE93" s="54"/>
      <c r="FF93" s="54"/>
      <c r="FG93" s="54"/>
      <c r="FH93" s="54"/>
      <c r="FI93" s="54"/>
      <c r="FJ93" s="54"/>
      <c r="FK93" s="54"/>
      <c r="FL93" s="54"/>
      <c r="FM93" s="54"/>
      <c r="FN93" s="54"/>
      <c r="FO93" s="54"/>
      <c r="FP93" s="54"/>
      <c r="FQ93" s="54"/>
      <c r="FR93" s="54"/>
      <c r="FS93" s="54"/>
      <c r="FT93" s="54"/>
      <c r="FU93" s="54"/>
    </row>
    <row r="94" spans="1:177" s="7" customFormat="1" ht="12.75">
      <c r="A94" s="112" t="s">
        <v>353</v>
      </c>
      <c r="B94" s="113" t="s">
        <v>354</v>
      </c>
      <c r="C94" s="114">
        <f t="shared" ref="C94:I94" si="17">C95+C96</f>
        <v>0</v>
      </c>
      <c r="D94" s="114">
        <f t="shared" si="17"/>
        <v>0</v>
      </c>
      <c r="E94" s="114">
        <f t="shared" si="17"/>
        <v>0</v>
      </c>
      <c r="F94" s="114">
        <f t="shared" si="17"/>
        <v>0</v>
      </c>
      <c r="G94" s="114">
        <f t="shared" si="17"/>
        <v>0</v>
      </c>
      <c r="H94" s="114">
        <f t="shared" si="17"/>
        <v>0</v>
      </c>
      <c r="I94" s="114">
        <f t="shared" si="17"/>
        <v>0</v>
      </c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3"/>
      <c r="BH94" s="53"/>
      <c r="BI94" s="53"/>
      <c r="BJ94" s="53"/>
      <c r="BK94" s="53"/>
      <c r="BL94" s="53"/>
      <c r="BM94" s="53"/>
      <c r="BN94" s="53"/>
      <c r="BO94" s="53"/>
      <c r="BP94" s="53"/>
      <c r="BQ94" s="53"/>
      <c r="BR94" s="53"/>
      <c r="BS94" s="53"/>
      <c r="BT94" s="53"/>
      <c r="BU94" s="53"/>
      <c r="BV94" s="53"/>
      <c r="BW94" s="53"/>
      <c r="BX94" s="53"/>
      <c r="BY94" s="53"/>
      <c r="BZ94" s="53"/>
      <c r="CA94" s="53"/>
      <c r="CB94" s="53"/>
      <c r="CC94" s="53"/>
      <c r="CD94" s="53"/>
      <c r="CE94" s="53"/>
      <c r="CF94" s="53"/>
      <c r="CG94" s="53"/>
      <c r="CH94" s="53"/>
      <c r="CI94" s="53"/>
      <c r="CJ94" s="53"/>
      <c r="CK94" s="53"/>
      <c r="CL94" s="53"/>
      <c r="CM94" s="53"/>
      <c r="CN94" s="53"/>
      <c r="CO94" s="53"/>
      <c r="CP94" s="53"/>
      <c r="CQ94" s="53"/>
      <c r="CR94" s="53"/>
      <c r="CS94" s="53"/>
      <c r="CT94" s="53"/>
      <c r="CU94" s="53"/>
      <c r="CV94" s="53"/>
      <c r="CW94" s="53"/>
      <c r="CX94" s="53"/>
      <c r="CY94" s="53"/>
      <c r="CZ94" s="53"/>
      <c r="DA94" s="53"/>
      <c r="DB94" s="53"/>
      <c r="DC94" s="53"/>
      <c r="DD94" s="53"/>
      <c r="DE94" s="53"/>
      <c r="DF94" s="53"/>
      <c r="DG94" s="53"/>
      <c r="DH94" s="53"/>
      <c r="DI94" s="53"/>
      <c r="DJ94" s="53"/>
      <c r="DK94" s="53"/>
      <c r="DL94" s="53"/>
      <c r="DM94" s="53"/>
      <c r="DN94" s="53"/>
      <c r="DO94" s="53"/>
      <c r="DP94" s="53"/>
      <c r="DQ94" s="53"/>
      <c r="DR94" s="53"/>
      <c r="DS94" s="53"/>
      <c r="DT94" s="53"/>
      <c r="DU94" s="53"/>
      <c r="DV94" s="53"/>
      <c r="DW94" s="53"/>
      <c r="DX94" s="53"/>
      <c r="DY94" s="53"/>
      <c r="DZ94" s="53"/>
      <c r="EA94" s="53"/>
      <c r="EB94" s="53"/>
      <c r="EC94" s="53"/>
      <c r="ED94" s="53"/>
      <c r="EE94" s="53"/>
      <c r="EF94" s="53"/>
      <c r="EG94" s="53"/>
      <c r="EH94" s="53"/>
      <c r="EI94" s="53"/>
      <c r="EJ94" s="53"/>
      <c r="EK94" s="53"/>
      <c r="EL94" s="53"/>
      <c r="EM94" s="53"/>
      <c r="EN94" s="53"/>
      <c r="EO94" s="53"/>
      <c r="EP94" s="53"/>
      <c r="EQ94" s="53"/>
      <c r="ER94" s="53"/>
      <c r="ES94" s="53"/>
      <c r="ET94" s="53"/>
      <c r="EU94" s="53"/>
      <c r="EV94" s="53"/>
      <c r="EW94" s="53"/>
      <c r="EX94" s="53"/>
      <c r="EY94" s="53"/>
      <c r="EZ94" s="53"/>
      <c r="FA94" s="53"/>
      <c r="FB94" s="53"/>
      <c r="FC94" s="53"/>
      <c r="FD94" s="53"/>
      <c r="FE94" s="53"/>
      <c r="FF94" s="53"/>
      <c r="FG94" s="53"/>
      <c r="FH94" s="53"/>
      <c r="FI94" s="53"/>
      <c r="FJ94" s="53"/>
      <c r="FK94" s="53"/>
      <c r="FL94" s="53"/>
      <c r="FM94" s="53"/>
      <c r="FN94" s="53"/>
      <c r="FO94" s="53"/>
      <c r="FP94" s="53"/>
      <c r="FQ94" s="53"/>
      <c r="FR94" s="53"/>
      <c r="FS94" s="53"/>
      <c r="FT94" s="53"/>
      <c r="FU94" s="53"/>
    </row>
    <row r="95" spans="1:177" customFormat="1" ht="12.75">
      <c r="A95" s="115" t="s">
        <v>355</v>
      </c>
      <c r="B95" s="127" t="s">
        <v>356</v>
      </c>
      <c r="C95" s="117">
        <v>0</v>
      </c>
      <c r="D95" s="117">
        <v>0</v>
      </c>
      <c r="E95" s="117">
        <v>0</v>
      </c>
      <c r="F95" s="117">
        <v>0</v>
      </c>
      <c r="G95" s="118">
        <f>(((D95*(1+Parâmetros!B11)*(1+Parâmetros!C11)*(1+Parâmetros!D11))+(E95*(1+Parâmetros!C11)*(1+Parâmetros!D11)+(F95*(1+Parâmetros!D11))))/3)*(1+Parâmetros!E11)</f>
        <v>0</v>
      </c>
      <c r="H95" s="118">
        <f>G95*(1+Parâmetros!F11)</f>
        <v>0</v>
      </c>
      <c r="I95" s="118">
        <f>H95*(1+Parâmetros!G11)</f>
        <v>0</v>
      </c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4"/>
      <c r="CP95" s="54"/>
      <c r="CQ95" s="54"/>
      <c r="CR95" s="54"/>
      <c r="CS95" s="54"/>
      <c r="CT95" s="54"/>
      <c r="CU95" s="54"/>
      <c r="CV95" s="54"/>
      <c r="CW95" s="54"/>
      <c r="CX95" s="54"/>
      <c r="CY95" s="54"/>
      <c r="CZ95" s="54"/>
      <c r="DA95" s="54"/>
      <c r="DB95" s="54"/>
      <c r="DC95" s="54"/>
      <c r="DD95" s="54"/>
      <c r="DE95" s="54"/>
      <c r="DF95" s="54"/>
      <c r="DG95" s="54"/>
      <c r="DH95" s="54"/>
      <c r="DI95" s="54"/>
      <c r="DJ95" s="54"/>
      <c r="DK95" s="54"/>
      <c r="DL95" s="54"/>
      <c r="DM95" s="54"/>
      <c r="DN95" s="54"/>
      <c r="DO95" s="54"/>
      <c r="DP95" s="54"/>
      <c r="DQ95" s="54"/>
      <c r="DR95" s="54"/>
      <c r="DS95" s="54"/>
      <c r="DT95" s="54"/>
      <c r="DU95" s="54"/>
      <c r="DV95" s="54"/>
      <c r="DW95" s="54"/>
      <c r="DX95" s="54"/>
      <c r="DY95" s="54"/>
      <c r="DZ95" s="54"/>
      <c r="EA95" s="54"/>
      <c r="EB95" s="54"/>
      <c r="EC95" s="54"/>
      <c r="ED95" s="54"/>
      <c r="EE95" s="54"/>
      <c r="EF95" s="54"/>
      <c r="EG95" s="54"/>
      <c r="EH95" s="54"/>
      <c r="EI95" s="54"/>
      <c r="EJ95" s="54"/>
      <c r="EK95" s="54"/>
      <c r="EL95" s="54"/>
      <c r="EM95" s="54"/>
      <c r="EN95" s="54"/>
      <c r="EO95" s="54"/>
      <c r="EP95" s="54"/>
      <c r="EQ95" s="54"/>
      <c r="ER95" s="54"/>
      <c r="ES95" s="54"/>
      <c r="ET95" s="54"/>
      <c r="EU95" s="54"/>
      <c r="EV95" s="54"/>
      <c r="EW95" s="54"/>
      <c r="EX95" s="54"/>
      <c r="EY95" s="54"/>
      <c r="EZ95" s="54"/>
      <c r="FA95" s="54"/>
      <c r="FB95" s="54"/>
      <c r="FC95" s="54"/>
      <c r="FD95" s="54"/>
      <c r="FE95" s="54"/>
      <c r="FF95" s="54"/>
      <c r="FG95" s="54"/>
      <c r="FH95" s="54"/>
      <c r="FI95" s="54"/>
      <c r="FJ95" s="54"/>
      <c r="FK95" s="54"/>
      <c r="FL95" s="54"/>
      <c r="FM95" s="54"/>
      <c r="FN95" s="54"/>
      <c r="FO95" s="54"/>
      <c r="FP95" s="54"/>
      <c r="FQ95" s="54"/>
      <c r="FR95" s="54"/>
      <c r="FS95" s="54"/>
      <c r="FT95" s="54"/>
      <c r="FU95" s="54"/>
    </row>
    <row r="96" spans="1:177" customFormat="1" ht="12.75">
      <c r="A96" s="115" t="s">
        <v>357</v>
      </c>
      <c r="B96" s="127" t="s">
        <v>358</v>
      </c>
      <c r="C96" s="117">
        <v>0</v>
      </c>
      <c r="D96" s="117">
        <v>0</v>
      </c>
      <c r="E96" s="117">
        <v>0</v>
      </c>
      <c r="F96" s="117">
        <v>0</v>
      </c>
      <c r="G96" s="118">
        <f>(((D96*(1+Parâmetros!B11)*(1+Parâmetros!C11)*(1+Parâmetros!D11))+(E96*(1+Parâmetros!C11)*(1+Parâmetros!D11)+(F96*(1+Parâmetros!D11))))/3)*(1+Parâmetros!E11)</f>
        <v>0</v>
      </c>
      <c r="H96" s="118">
        <f>G96*(1+Parâmetros!F11)</f>
        <v>0</v>
      </c>
      <c r="I96" s="118">
        <f>H96*(1+Parâmetros!G11)</f>
        <v>0</v>
      </c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54"/>
      <c r="CO96" s="54"/>
      <c r="CP96" s="54"/>
      <c r="CQ96" s="54"/>
      <c r="CR96" s="54"/>
      <c r="CS96" s="54"/>
      <c r="CT96" s="54"/>
      <c r="CU96" s="54"/>
      <c r="CV96" s="54"/>
      <c r="CW96" s="54"/>
      <c r="CX96" s="54"/>
      <c r="CY96" s="54"/>
      <c r="CZ96" s="54"/>
      <c r="DA96" s="54"/>
      <c r="DB96" s="54"/>
      <c r="DC96" s="54"/>
      <c r="DD96" s="54"/>
      <c r="DE96" s="54"/>
      <c r="DF96" s="54"/>
      <c r="DG96" s="54"/>
      <c r="DH96" s="54"/>
      <c r="DI96" s="54"/>
      <c r="DJ96" s="54"/>
      <c r="DK96" s="54"/>
      <c r="DL96" s="54"/>
      <c r="DM96" s="54"/>
      <c r="DN96" s="54"/>
      <c r="DO96" s="54"/>
      <c r="DP96" s="54"/>
      <c r="DQ96" s="54"/>
      <c r="DR96" s="54"/>
      <c r="DS96" s="54"/>
      <c r="DT96" s="54"/>
      <c r="DU96" s="54"/>
      <c r="DV96" s="54"/>
      <c r="DW96" s="54"/>
      <c r="DX96" s="54"/>
      <c r="DY96" s="54"/>
      <c r="DZ96" s="54"/>
      <c r="EA96" s="54"/>
      <c r="EB96" s="54"/>
      <c r="EC96" s="54"/>
      <c r="ED96" s="54"/>
      <c r="EE96" s="54"/>
      <c r="EF96" s="54"/>
      <c r="EG96" s="54"/>
      <c r="EH96" s="54"/>
      <c r="EI96" s="54"/>
      <c r="EJ96" s="54"/>
      <c r="EK96" s="54"/>
      <c r="EL96" s="54"/>
      <c r="EM96" s="54"/>
      <c r="EN96" s="54"/>
      <c r="EO96" s="54"/>
      <c r="EP96" s="54"/>
      <c r="EQ96" s="54"/>
      <c r="ER96" s="54"/>
      <c r="ES96" s="54"/>
      <c r="ET96" s="54"/>
      <c r="EU96" s="54"/>
      <c r="EV96" s="54"/>
      <c r="EW96" s="54"/>
      <c r="EX96" s="54"/>
      <c r="EY96" s="54"/>
      <c r="EZ96" s="54"/>
      <c r="FA96" s="54"/>
      <c r="FB96" s="54"/>
      <c r="FC96" s="54"/>
      <c r="FD96" s="54"/>
      <c r="FE96" s="54"/>
      <c r="FF96" s="54"/>
      <c r="FG96" s="54"/>
      <c r="FH96" s="54"/>
      <c r="FI96" s="54"/>
      <c r="FJ96" s="54"/>
      <c r="FK96" s="54"/>
      <c r="FL96" s="54"/>
      <c r="FM96" s="54"/>
      <c r="FN96" s="54"/>
      <c r="FO96" s="54"/>
      <c r="FP96" s="54"/>
      <c r="FQ96" s="54"/>
      <c r="FR96" s="54"/>
      <c r="FS96" s="54"/>
      <c r="FT96" s="54"/>
      <c r="FU96" s="54"/>
    </row>
    <row r="97" spans="1:177" s="57" customFormat="1" ht="18">
      <c r="A97" s="128" t="s">
        <v>359</v>
      </c>
      <c r="B97" s="116" t="s">
        <v>387</v>
      </c>
      <c r="C97" s="97">
        <v>4586654.1500000004</v>
      </c>
      <c r="D97" s="97">
        <v>7976531.4699999997</v>
      </c>
      <c r="E97" s="117">
        <v>8372821.3799999999</v>
      </c>
      <c r="F97" s="117">
        <v>8870000</v>
      </c>
      <c r="G97" s="118">
        <f>(((D97*(1+Parâmetros!B11)*(1+Parâmetros!C11)*(1+Parâmetros!D11))+(E97*(1+Parâmetros!C11)*(1+Parâmetros!D11)+(F97*(1+Parâmetros!D11))))/3)*(1+Parâmetros!E11)*(1+Parâmetros!E13)*(1+Parâmetros!E18)</f>
        <v>9964567.5952415932</v>
      </c>
      <c r="H97" s="118">
        <f>G97*(1+Parâmetros!F11)*(1+Parâmetros!F13)*(1+Parâmetros!F18)</f>
        <v>10664455.055047052</v>
      </c>
      <c r="I97" s="118">
        <f>H97*(1+Parâmetros!G11)*(1+Parâmetros!G13)*(1+Parâmetros!G18)</f>
        <v>11537201.327945843</v>
      </c>
    </row>
    <row r="98" spans="1:177" s="57" customFormat="1" ht="18">
      <c r="A98" s="115" t="s">
        <v>360</v>
      </c>
      <c r="B98" s="116" t="s">
        <v>361</v>
      </c>
      <c r="C98" s="117">
        <v>0</v>
      </c>
      <c r="D98" s="117">
        <v>0</v>
      </c>
      <c r="E98" s="117">
        <v>0</v>
      </c>
      <c r="F98" s="117">
        <v>0</v>
      </c>
      <c r="G98" s="118">
        <f>(((D98*(1+Parâmetros!B11)*(1+Parâmetros!C11)*(1+Parâmetros!D11))+(E98*(1+Parâmetros!C11)*(1+Parâmetros!D11)+(F98*(1+Parâmetros!D11))))/3)*(1+Parâmetros!E11)</f>
        <v>0</v>
      </c>
      <c r="H98" s="118"/>
      <c r="I98" s="118"/>
    </row>
    <row r="99" spans="1:177" s="10" customFormat="1" ht="30.75" customHeight="1">
      <c r="A99" s="112" t="s">
        <v>362</v>
      </c>
      <c r="B99" s="113" t="s">
        <v>632</v>
      </c>
      <c r="C99" s="114">
        <f>C100+C101+C102+C103+47897.57</f>
        <v>-7176452.2080000006</v>
      </c>
      <c r="D99" s="114">
        <f>D100+D101+D102+D103+9686.57</f>
        <v>-8048814.2260000007</v>
      </c>
      <c r="E99" s="114">
        <f>E100+E101+E102+E103</f>
        <v>-8372821.3799999999</v>
      </c>
      <c r="F99" s="114">
        <f>F100+F101+F102+F103</f>
        <v>-8221200</v>
      </c>
      <c r="G99" s="114">
        <f>G100+G101+G102+G103</f>
        <v>-8505417.2005305625</v>
      </c>
      <c r="H99" s="114">
        <f>H100+H101+H102+H103</f>
        <v>-8674525.1952048782</v>
      </c>
      <c r="I99" s="114">
        <f>I100+I101+I102+I103</f>
        <v>-8950706.2676428296</v>
      </c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  <c r="BL99" s="69"/>
      <c r="BM99" s="69"/>
      <c r="BN99" s="69"/>
      <c r="BO99" s="69"/>
      <c r="BP99" s="69"/>
      <c r="BQ99" s="69"/>
      <c r="BR99" s="69"/>
      <c r="BS99" s="69"/>
      <c r="BT99" s="69"/>
      <c r="BU99" s="69"/>
      <c r="BV99" s="69"/>
      <c r="BW99" s="69"/>
      <c r="BX99" s="69"/>
      <c r="BY99" s="69"/>
      <c r="BZ99" s="69"/>
      <c r="CA99" s="69"/>
      <c r="CB99" s="69"/>
      <c r="CC99" s="69"/>
      <c r="CD99" s="69"/>
      <c r="CE99" s="69"/>
      <c r="CF99" s="69"/>
      <c r="CG99" s="69"/>
      <c r="CH99" s="69"/>
      <c r="CI99" s="69"/>
      <c r="CJ99" s="69"/>
      <c r="CK99" s="69"/>
      <c r="CL99" s="69"/>
      <c r="CM99" s="69"/>
      <c r="CN99" s="69"/>
      <c r="CO99" s="69"/>
      <c r="CP99" s="69"/>
      <c r="CQ99" s="69"/>
      <c r="CR99" s="69"/>
      <c r="CS99" s="69"/>
      <c r="CT99" s="69"/>
      <c r="CU99" s="69"/>
      <c r="CV99" s="69"/>
      <c r="CW99" s="69"/>
      <c r="CX99" s="69"/>
      <c r="CY99" s="69"/>
      <c r="CZ99" s="69"/>
      <c r="DA99" s="69"/>
      <c r="DB99" s="69"/>
      <c r="DC99" s="69"/>
      <c r="DD99" s="69"/>
      <c r="DE99" s="69"/>
      <c r="DF99" s="69"/>
      <c r="DG99" s="69"/>
      <c r="DH99" s="69"/>
      <c r="DI99" s="69"/>
      <c r="DJ99" s="69"/>
      <c r="DK99" s="69"/>
      <c r="DL99" s="69"/>
      <c r="DM99" s="69"/>
      <c r="DN99" s="69"/>
      <c r="DO99" s="69"/>
      <c r="DP99" s="69"/>
      <c r="DQ99" s="69"/>
      <c r="DR99" s="69"/>
      <c r="DS99" s="69"/>
      <c r="DT99" s="69"/>
      <c r="DU99" s="69"/>
      <c r="DV99" s="69"/>
      <c r="DW99" s="69"/>
      <c r="DX99" s="69"/>
      <c r="DY99" s="69"/>
      <c r="DZ99" s="69"/>
      <c r="EA99" s="69"/>
      <c r="EB99" s="69"/>
      <c r="EC99" s="69"/>
      <c r="ED99" s="69"/>
      <c r="EE99" s="69"/>
      <c r="EF99" s="69"/>
      <c r="EG99" s="69"/>
      <c r="EH99" s="69"/>
      <c r="EI99" s="69"/>
      <c r="EJ99" s="69"/>
      <c r="EK99" s="69"/>
      <c r="EL99" s="69"/>
      <c r="EM99" s="69"/>
      <c r="EN99" s="69"/>
      <c r="EO99" s="69"/>
      <c r="EP99" s="69"/>
      <c r="EQ99" s="69"/>
      <c r="ER99" s="69"/>
      <c r="ES99" s="69"/>
      <c r="ET99" s="69"/>
      <c r="EU99" s="69"/>
      <c r="EV99" s="69"/>
      <c r="EW99" s="69"/>
      <c r="EX99" s="69"/>
      <c r="EY99" s="69"/>
      <c r="EZ99" s="69"/>
      <c r="FA99" s="69"/>
      <c r="FB99" s="69"/>
      <c r="FC99" s="69"/>
      <c r="FD99" s="69"/>
      <c r="FE99" s="69"/>
      <c r="FF99" s="69"/>
      <c r="FG99" s="69"/>
      <c r="FH99" s="69"/>
      <c r="FI99" s="69"/>
      <c r="FJ99" s="69"/>
      <c r="FK99" s="69"/>
      <c r="FL99" s="69"/>
      <c r="FM99" s="69"/>
      <c r="FN99" s="69"/>
      <c r="FO99" s="69"/>
      <c r="FP99" s="69"/>
      <c r="FQ99" s="69"/>
      <c r="FR99" s="69"/>
      <c r="FS99" s="69"/>
      <c r="FT99" s="69"/>
      <c r="FU99" s="69"/>
    </row>
    <row r="100" spans="1:177" customFormat="1" ht="12.75">
      <c r="A100" s="115" t="s">
        <v>363</v>
      </c>
      <c r="B100" s="116" t="s">
        <v>807</v>
      </c>
      <c r="C100" s="97">
        <v>0</v>
      </c>
      <c r="D100" s="97">
        <v>0</v>
      </c>
      <c r="E100" s="97">
        <v>0</v>
      </c>
      <c r="F100" s="97">
        <v>-15000</v>
      </c>
      <c r="G100" s="118">
        <f>(((D100*(1+Parâmetros!B11)*(1+Parâmetros!C11)*(1+Parâmetros!D11))+(E100*(1+Parâmetros!C11)*(1+Parâmetros!D11)+(F100*(1+Parâmetros!D11))))/3)*(1+Parâmetros!E11)</f>
        <v>-5389.7852999999996</v>
      </c>
      <c r="H100" s="118">
        <f>G100*(1+Parâmetros!F11)</f>
        <v>-5606.45466906</v>
      </c>
      <c r="I100" s="118">
        <f>H100*(1+Parâmetros!G11)</f>
        <v>-5827.3489830209646</v>
      </c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  <c r="CO100" s="54"/>
      <c r="CP100" s="54"/>
      <c r="CQ100" s="54"/>
      <c r="CR100" s="54"/>
      <c r="CS100" s="54"/>
      <c r="CT100" s="54"/>
      <c r="CU100" s="54"/>
      <c r="CV100" s="54"/>
      <c r="CW100" s="54"/>
      <c r="CX100" s="54"/>
      <c r="CY100" s="54"/>
      <c r="CZ100" s="54"/>
      <c r="DA100" s="54"/>
      <c r="DB100" s="54"/>
      <c r="DC100" s="54"/>
      <c r="DD100" s="54"/>
      <c r="DE100" s="54"/>
      <c r="DF100" s="54"/>
      <c r="DG100" s="54"/>
      <c r="DH100" s="54"/>
      <c r="DI100" s="54"/>
      <c r="DJ100" s="54"/>
      <c r="DK100" s="54"/>
      <c r="DL100" s="54"/>
      <c r="DM100" s="54"/>
      <c r="DN100" s="54"/>
      <c r="DO100" s="54"/>
      <c r="DP100" s="54"/>
      <c r="DQ100" s="54"/>
      <c r="DR100" s="54"/>
      <c r="DS100" s="54"/>
      <c r="DT100" s="54"/>
      <c r="DU100" s="54"/>
      <c r="DV100" s="54"/>
      <c r="DW100" s="54"/>
      <c r="DX100" s="54"/>
      <c r="DY100" s="54"/>
      <c r="DZ100" s="54"/>
      <c r="EA100" s="54"/>
      <c r="EB100" s="54"/>
      <c r="EC100" s="54"/>
      <c r="ED100" s="54"/>
      <c r="EE100" s="54"/>
      <c r="EF100" s="54"/>
      <c r="EG100" s="54"/>
      <c r="EH100" s="54"/>
      <c r="EI100" s="54"/>
      <c r="EJ100" s="54"/>
      <c r="EK100" s="54"/>
      <c r="EL100" s="54"/>
      <c r="EM100" s="54"/>
      <c r="EN100" s="54"/>
      <c r="EO100" s="54"/>
      <c r="EP100" s="54"/>
      <c r="EQ100" s="54"/>
      <c r="ER100" s="54"/>
      <c r="ES100" s="54"/>
      <c r="ET100" s="54"/>
      <c r="EU100" s="54"/>
      <c r="EV100" s="54"/>
      <c r="EW100" s="54"/>
      <c r="EX100" s="54"/>
      <c r="EY100" s="54"/>
      <c r="EZ100" s="54"/>
      <c r="FA100" s="54"/>
      <c r="FB100" s="54"/>
      <c r="FC100" s="54"/>
      <c r="FD100" s="54"/>
      <c r="FE100" s="54"/>
      <c r="FF100" s="54"/>
      <c r="FG100" s="54"/>
      <c r="FH100" s="54"/>
      <c r="FI100" s="54"/>
      <c r="FJ100" s="54"/>
      <c r="FK100" s="54"/>
      <c r="FL100" s="54"/>
      <c r="FM100" s="54"/>
      <c r="FN100" s="54"/>
      <c r="FO100" s="54"/>
      <c r="FP100" s="54"/>
      <c r="FQ100" s="54"/>
      <c r="FR100" s="54"/>
      <c r="FS100" s="54"/>
      <c r="FT100" s="54"/>
      <c r="FU100" s="54"/>
    </row>
    <row r="101" spans="1:177" customFormat="1" ht="12.75">
      <c r="A101" s="112" t="s">
        <v>364</v>
      </c>
      <c r="B101" s="113" t="s">
        <v>365</v>
      </c>
      <c r="C101" s="129">
        <f>-((C41+C44+C49+C52+C53+C54)*0.2)</f>
        <v>-7224349.7780000009</v>
      </c>
      <c r="D101" s="129">
        <f t="shared" ref="D101:I101" si="18">-((D41+D44+D49+D52+D53+D54)*0.2)</f>
        <v>-8058500.796000001</v>
      </c>
      <c r="E101" s="129">
        <f>-8372821.38</f>
        <v>-8372821.3799999999</v>
      </c>
      <c r="F101" s="129">
        <f>-((F41+F44+F49+F52+F53+F54)*0.2)</f>
        <v>-8206200</v>
      </c>
      <c r="G101" s="129">
        <f t="shared" si="18"/>
        <v>-8500027.4152305629</v>
      </c>
      <c r="H101" s="129">
        <f t="shared" si="18"/>
        <v>-8668918.740535818</v>
      </c>
      <c r="I101" s="129">
        <f t="shared" si="18"/>
        <v>-8944878.9186598081</v>
      </c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54"/>
      <c r="CO101" s="54"/>
      <c r="CP101" s="54"/>
      <c r="CQ101" s="54"/>
      <c r="CR101" s="54"/>
      <c r="CS101" s="54"/>
      <c r="CT101" s="54"/>
      <c r="CU101" s="54"/>
      <c r="CV101" s="54"/>
      <c r="CW101" s="54"/>
      <c r="CX101" s="54"/>
      <c r="CY101" s="54"/>
      <c r="CZ101" s="54"/>
      <c r="DA101" s="54"/>
      <c r="DB101" s="54"/>
      <c r="DC101" s="54"/>
      <c r="DD101" s="54"/>
      <c r="DE101" s="54"/>
      <c r="DF101" s="54"/>
      <c r="DG101" s="54"/>
      <c r="DH101" s="54"/>
      <c r="DI101" s="54"/>
      <c r="DJ101" s="54"/>
      <c r="DK101" s="54"/>
      <c r="DL101" s="54"/>
      <c r="DM101" s="54"/>
      <c r="DN101" s="54"/>
      <c r="DO101" s="54"/>
      <c r="DP101" s="54"/>
      <c r="DQ101" s="54"/>
      <c r="DR101" s="54"/>
      <c r="DS101" s="54"/>
      <c r="DT101" s="54"/>
      <c r="DU101" s="54"/>
      <c r="DV101" s="54"/>
      <c r="DW101" s="54"/>
      <c r="DX101" s="54"/>
      <c r="DY101" s="54"/>
      <c r="DZ101" s="54"/>
      <c r="EA101" s="54"/>
      <c r="EB101" s="54"/>
      <c r="EC101" s="54"/>
      <c r="ED101" s="54"/>
      <c r="EE101" s="54"/>
      <c r="EF101" s="54"/>
      <c r="EG101" s="54"/>
      <c r="EH101" s="54"/>
      <c r="EI101" s="54"/>
      <c r="EJ101" s="54"/>
      <c r="EK101" s="54"/>
      <c r="EL101" s="54"/>
      <c r="EM101" s="54"/>
      <c r="EN101" s="54"/>
      <c r="EO101" s="54"/>
      <c r="EP101" s="54"/>
      <c r="EQ101" s="54"/>
      <c r="ER101" s="54"/>
      <c r="ES101" s="54"/>
      <c r="ET101" s="54"/>
      <c r="EU101" s="54"/>
      <c r="EV101" s="54"/>
      <c r="EW101" s="54"/>
      <c r="EX101" s="54"/>
      <c r="EY101" s="54"/>
      <c r="EZ101" s="54"/>
      <c r="FA101" s="54"/>
      <c r="FB101" s="54"/>
      <c r="FC101" s="54"/>
      <c r="FD101" s="54"/>
      <c r="FE101" s="54"/>
      <c r="FF101" s="54"/>
      <c r="FG101" s="54"/>
      <c r="FH101" s="54"/>
      <c r="FI101" s="54"/>
      <c r="FJ101" s="54"/>
      <c r="FK101" s="54"/>
      <c r="FL101" s="54"/>
      <c r="FM101" s="54"/>
      <c r="FN101" s="54"/>
      <c r="FO101" s="54"/>
      <c r="FP101" s="54"/>
      <c r="FQ101" s="54"/>
      <c r="FR101" s="54"/>
      <c r="FS101" s="54"/>
      <c r="FT101" s="54"/>
      <c r="FU101" s="54"/>
    </row>
    <row r="102" spans="1:177" customFormat="1" ht="12.75">
      <c r="A102" s="115" t="s">
        <v>366</v>
      </c>
      <c r="B102" s="116" t="s">
        <v>808</v>
      </c>
      <c r="C102" s="97">
        <v>0</v>
      </c>
      <c r="D102" s="97">
        <v>0</v>
      </c>
      <c r="E102" s="97">
        <v>0</v>
      </c>
      <c r="F102" s="97"/>
      <c r="G102" s="118">
        <f>(((D102*(1+Parâmetros!B11)*(1+Parâmetros!C11)*(1+Parâmetros!D11))+(E102*(1+Parâmetros!C11)*(1+Parâmetros!D11)+(F102*(1+Parâmetros!D11))))/3)*(1+Parâmetros!E11)</f>
        <v>0</v>
      </c>
      <c r="H102" s="118">
        <f>G102*(1+Parâmetros!F11)</f>
        <v>0</v>
      </c>
      <c r="I102" s="118">
        <f>H102*(1+Parâmetros!G11)</f>
        <v>0</v>
      </c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  <c r="CG102" s="54"/>
      <c r="CH102" s="54"/>
      <c r="CI102" s="54"/>
      <c r="CJ102" s="54"/>
      <c r="CK102" s="54"/>
      <c r="CL102" s="54"/>
      <c r="CM102" s="54"/>
      <c r="CN102" s="54"/>
      <c r="CO102" s="54"/>
      <c r="CP102" s="54"/>
      <c r="CQ102" s="54"/>
      <c r="CR102" s="54"/>
      <c r="CS102" s="54"/>
      <c r="CT102" s="54"/>
      <c r="CU102" s="54"/>
      <c r="CV102" s="54"/>
      <c r="CW102" s="54"/>
      <c r="CX102" s="54"/>
      <c r="CY102" s="54"/>
      <c r="CZ102" s="54"/>
      <c r="DA102" s="54"/>
      <c r="DB102" s="54"/>
      <c r="DC102" s="54"/>
      <c r="DD102" s="54"/>
      <c r="DE102" s="54"/>
      <c r="DF102" s="54"/>
      <c r="DG102" s="54"/>
      <c r="DH102" s="54"/>
      <c r="DI102" s="54"/>
      <c r="DJ102" s="54"/>
      <c r="DK102" s="54"/>
      <c r="DL102" s="54"/>
      <c r="DM102" s="54"/>
      <c r="DN102" s="54"/>
      <c r="DO102" s="54"/>
      <c r="DP102" s="54"/>
      <c r="DQ102" s="54"/>
      <c r="DR102" s="54"/>
      <c r="DS102" s="54"/>
      <c r="DT102" s="54"/>
      <c r="DU102" s="54"/>
      <c r="DV102" s="54"/>
      <c r="DW102" s="54"/>
      <c r="DX102" s="54"/>
      <c r="DY102" s="54"/>
      <c r="DZ102" s="54"/>
      <c r="EA102" s="54"/>
      <c r="EB102" s="54"/>
      <c r="EC102" s="54"/>
      <c r="ED102" s="54"/>
      <c r="EE102" s="54"/>
      <c r="EF102" s="54"/>
      <c r="EG102" s="54"/>
      <c r="EH102" s="54"/>
      <c r="EI102" s="54"/>
      <c r="EJ102" s="54"/>
      <c r="EK102" s="54"/>
      <c r="EL102" s="54"/>
      <c r="EM102" s="54"/>
      <c r="EN102" s="54"/>
      <c r="EO102" s="54"/>
      <c r="EP102" s="54"/>
      <c r="EQ102" s="54"/>
      <c r="ER102" s="54"/>
      <c r="ES102" s="54"/>
      <c r="ET102" s="54"/>
      <c r="EU102" s="54"/>
      <c r="EV102" s="54"/>
      <c r="EW102" s="54"/>
      <c r="EX102" s="54"/>
      <c r="EY102" s="54"/>
      <c r="EZ102" s="54"/>
      <c r="FA102" s="54"/>
      <c r="FB102" s="54"/>
      <c r="FC102" s="54"/>
      <c r="FD102" s="54"/>
      <c r="FE102" s="54"/>
      <c r="FF102" s="54"/>
      <c r="FG102" s="54"/>
      <c r="FH102" s="54"/>
      <c r="FI102" s="54"/>
      <c r="FJ102" s="54"/>
      <c r="FK102" s="54"/>
      <c r="FL102" s="54"/>
      <c r="FM102" s="54"/>
      <c r="FN102" s="54"/>
      <c r="FO102" s="54"/>
      <c r="FP102" s="54"/>
      <c r="FQ102" s="54"/>
      <c r="FR102" s="54"/>
      <c r="FS102" s="54"/>
      <c r="FT102" s="54"/>
      <c r="FU102" s="54"/>
    </row>
    <row r="103" spans="1:177" customFormat="1" ht="12.75">
      <c r="A103" s="115" t="s">
        <v>367</v>
      </c>
      <c r="B103" s="116" t="s">
        <v>809</v>
      </c>
      <c r="C103" s="97">
        <v>0</v>
      </c>
      <c r="D103" s="97">
        <v>0</v>
      </c>
      <c r="E103" s="97">
        <v>0</v>
      </c>
      <c r="F103" s="97">
        <v>0</v>
      </c>
      <c r="G103" s="118">
        <f>(((D103*(1+Parâmetros!B11)*(1+Parâmetros!C11)*(1+Parâmetros!D11))+(E103*(1+Parâmetros!C11)*(1+Parâmetros!D11)+(F103*(1+Parâmetros!D11))))/3)*(1+Parâmetros!E11)</f>
        <v>0</v>
      </c>
      <c r="H103" s="118">
        <f>G103*(1+Parâmetros!F11)</f>
        <v>0</v>
      </c>
      <c r="I103" s="118">
        <f>H103*(1+Parâmetros!G11)</f>
        <v>0</v>
      </c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54"/>
      <c r="CO103" s="54"/>
      <c r="CP103" s="54"/>
      <c r="CQ103" s="54"/>
      <c r="CR103" s="54"/>
      <c r="CS103" s="54"/>
      <c r="CT103" s="54"/>
      <c r="CU103" s="54"/>
      <c r="CV103" s="54"/>
      <c r="CW103" s="54"/>
      <c r="CX103" s="54"/>
      <c r="CY103" s="54"/>
      <c r="CZ103" s="54"/>
      <c r="DA103" s="54"/>
      <c r="DB103" s="54"/>
      <c r="DC103" s="54"/>
      <c r="DD103" s="54"/>
      <c r="DE103" s="54"/>
      <c r="DF103" s="54"/>
      <c r="DG103" s="54"/>
      <c r="DH103" s="54"/>
      <c r="DI103" s="54"/>
      <c r="DJ103" s="54"/>
      <c r="DK103" s="54"/>
      <c r="DL103" s="54"/>
      <c r="DM103" s="54"/>
      <c r="DN103" s="54"/>
      <c r="DO103" s="54"/>
      <c r="DP103" s="54"/>
      <c r="DQ103" s="54"/>
      <c r="DR103" s="54"/>
      <c r="DS103" s="54"/>
      <c r="DT103" s="54"/>
      <c r="DU103" s="54"/>
      <c r="DV103" s="54"/>
      <c r="DW103" s="54"/>
      <c r="DX103" s="54"/>
      <c r="DY103" s="54"/>
      <c r="DZ103" s="54"/>
      <c r="EA103" s="54"/>
      <c r="EB103" s="54"/>
      <c r="EC103" s="54"/>
      <c r="ED103" s="54"/>
      <c r="EE103" s="54"/>
      <c r="EF103" s="54"/>
      <c r="EG103" s="54"/>
      <c r="EH103" s="54"/>
      <c r="EI103" s="54"/>
      <c r="EJ103" s="54"/>
      <c r="EK103" s="54"/>
      <c r="EL103" s="54"/>
      <c r="EM103" s="54"/>
      <c r="EN103" s="54"/>
      <c r="EO103" s="54"/>
      <c r="EP103" s="54"/>
      <c r="EQ103" s="54"/>
      <c r="ER103" s="54"/>
      <c r="ES103" s="54"/>
      <c r="ET103" s="54"/>
      <c r="EU103" s="54"/>
      <c r="EV103" s="54"/>
      <c r="EW103" s="54"/>
      <c r="EX103" s="54"/>
      <c r="EY103" s="54"/>
      <c r="EZ103" s="54"/>
      <c r="FA103" s="54"/>
      <c r="FB103" s="54"/>
      <c r="FC103" s="54"/>
      <c r="FD103" s="54"/>
      <c r="FE103" s="54"/>
      <c r="FF103" s="54"/>
      <c r="FG103" s="54"/>
      <c r="FH103" s="54"/>
      <c r="FI103" s="54"/>
      <c r="FJ103" s="54"/>
      <c r="FK103" s="54"/>
      <c r="FL103" s="54"/>
      <c r="FM103" s="54"/>
      <c r="FN103" s="54"/>
      <c r="FO103" s="54"/>
      <c r="FP103" s="54"/>
      <c r="FQ103" s="54"/>
      <c r="FR103" s="54"/>
      <c r="FS103" s="54"/>
      <c r="FT103" s="54"/>
      <c r="FU103" s="54"/>
    </row>
    <row r="104" spans="1:177" customFormat="1" ht="12.75">
      <c r="A104" s="130"/>
      <c r="B104" s="131"/>
      <c r="C104" s="132"/>
      <c r="D104" s="132"/>
      <c r="E104" s="132"/>
      <c r="F104" s="132"/>
      <c r="G104" s="118"/>
      <c r="H104" s="118"/>
      <c r="I104" s="118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  <c r="CG104" s="54"/>
      <c r="CH104" s="54"/>
      <c r="CI104" s="54"/>
      <c r="CJ104" s="54"/>
      <c r="CK104" s="54"/>
      <c r="CL104" s="54"/>
      <c r="CM104" s="54"/>
      <c r="CN104" s="54"/>
      <c r="CO104" s="54"/>
      <c r="CP104" s="54"/>
      <c r="CQ104" s="54"/>
      <c r="CR104" s="54"/>
      <c r="CS104" s="54"/>
      <c r="CT104" s="54"/>
      <c r="CU104" s="54"/>
      <c r="CV104" s="54"/>
      <c r="CW104" s="54"/>
      <c r="CX104" s="54"/>
      <c r="CY104" s="54"/>
      <c r="CZ104" s="54"/>
      <c r="DA104" s="54"/>
      <c r="DB104" s="54"/>
      <c r="DC104" s="54"/>
      <c r="DD104" s="54"/>
      <c r="DE104" s="54"/>
      <c r="DF104" s="54"/>
      <c r="DG104" s="54"/>
      <c r="DH104" s="54"/>
      <c r="DI104" s="54"/>
      <c r="DJ104" s="54"/>
      <c r="DK104" s="54"/>
      <c r="DL104" s="54"/>
      <c r="DM104" s="54"/>
      <c r="DN104" s="54"/>
      <c r="DO104" s="54"/>
      <c r="DP104" s="54"/>
      <c r="DQ104" s="54"/>
      <c r="DR104" s="54"/>
      <c r="DS104" s="54"/>
      <c r="DT104" s="54"/>
      <c r="DU104" s="54"/>
      <c r="DV104" s="54"/>
      <c r="DW104" s="54"/>
      <c r="DX104" s="54"/>
      <c r="DY104" s="54"/>
      <c r="DZ104" s="54"/>
      <c r="EA104" s="54"/>
      <c r="EB104" s="54"/>
      <c r="EC104" s="54"/>
      <c r="ED104" s="54"/>
      <c r="EE104" s="54"/>
      <c r="EF104" s="54"/>
      <c r="EG104" s="54"/>
      <c r="EH104" s="54"/>
      <c r="EI104" s="54"/>
      <c r="EJ104" s="54"/>
      <c r="EK104" s="54"/>
      <c r="EL104" s="54"/>
      <c r="EM104" s="54"/>
      <c r="EN104" s="54"/>
      <c r="EO104" s="54"/>
      <c r="EP104" s="54"/>
      <c r="EQ104" s="54"/>
      <c r="ER104" s="54"/>
      <c r="ES104" s="54"/>
      <c r="ET104" s="54"/>
      <c r="EU104" s="54"/>
      <c r="EV104" s="54"/>
      <c r="EW104" s="54"/>
      <c r="EX104" s="54"/>
      <c r="EY104" s="54"/>
      <c r="EZ104" s="54"/>
      <c r="FA104" s="54"/>
      <c r="FB104" s="54"/>
      <c r="FC104" s="54"/>
      <c r="FD104" s="54"/>
      <c r="FE104" s="54"/>
      <c r="FF104" s="54"/>
      <c r="FG104" s="54"/>
      <c r="FH104" s="54"/>
      <c r="FI104" s="54"/>
      <c r="FJ104" s="54"/>
      <c r="FK104" s="54"/>
      <c r="FL104" s="54"/>
      <c r="FM104" s="54"/>
      <c r="FN104" s="54"/>
      <c r="FO104" s="54"/>
      <c r="FP104" s="54"/>
      <c r="FQ104" s="54"/>
      <c r="FR104" s="54"/>
      <c r="FS104" s="54"/>
      <c r="FT104" s="54"/>
      <c r="FU104" s="54"/>
    </row>
    <row r="105" spans="1:177" s="9" customFormat="1" ht="25.5" customHeight="1">
      <c r="A105" s="133"/>
      <c r="B105" s="134" t="s">
        <v>510</v>
      </c>
      <c r="C105" s="129">
        <f t="shared" ref="C105:I105" si="19">C8+C78+C97+C98+C99</f>
        <v>76589500.791999996</v>
      </c>
      <c r="D105" s="129">
        <f t="shared" si="19"/>
        <v>93909228.904000014</v>
      </c>
      <c r="E105" s="129">
        <f t="shared" si="19"/>
        <v>93232100.810000017</v>
      </c>
      <c r="F105" s="129">
        <f t="shared" si="19"/>
        <v>93658450</v>
      </c>
      <c r="G105" s="129">
        <f t="shared" si="19"/>
        <v>95254389.864100814</v>
      </c>
      <c r="H105" s="129">
        <f t="shared" si="19"/>
        <v>98716093.294765681</v>
      </c>
      <c r="I105" s="129">
        <f t="shared" si="19"/>
        <v>103307654.63195926</v>
      </c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  <c r="AY105" s="70"/>
      <c r="AZ105" s="70"/>
      <c r="BA105" s="70"/>
      <c r="BB105" s="70"/>
      <c r="BC105" s="70"/>
      <c r="BD105" s="70"/>
      <c r="BE105" s="70"/>
      <c r="BF105" s="70"/>
      <c r="BG105" s="70"/>
      <c r="BH105" s="70"/>
      <c r="BI105" s="70"/>
      <c r="BJ105" s="70"/>
      <c r="BK105" s="70"/>
      <c r="BL105" s="70"/>
      <c r="BM105" s="70"/>
      <c r="BN105" s="70"/>
      <c r="BO105" s="70"/>
      <c r="BP105" s="70"/>
      <c r="BQ105" s="70"/>
      <c r="BR105" s="70"/>
      <c r="BS105" s="70"/>
      <c r="BT105" s="70"/>
      <c r="BU105" s="70"/>
      <c r="BV105" s="70"/>
      <c r="BW105" s="70"/>
      <c r="BX105" s="70"/>
      <c r="BY105" s="70"/>
      <c r="BZ105" s="70"/>
      <c r="CA105" s="70"/>
      <c r="CB105" s="70"/>
      <c r="CC105" s="70"/>
      <c r="CD105" s="70"/>
      <c r="CE105" s="70"/>
      <c r="CF105" s="70"/>
      <c r="CG105" s="70"/>
      <c r="CH105" s="70"/>
      <c r="CI105" s="70"/>
      <c r="CJ105" s="70"/>
      <c r="CK105" s="70"/>
      <c r="CL105" s="70"/>
      <c r="CM105" s="70"/>
      <c r="CN105" s="70"/>
      <c r="CO105" s="70"/>
      <c r="CP105" s="70"/>
      <c r="CQ105" s="70"/>
      <c r="CR105" s="70"/>
      <c r="CS105" s="70"/>
      <c r="CT105" s="70"/>
      <c r="CU105" s="70"/>
      <c r="CV105" s="70"/>
      <c r="CW105" s="70"/>
      <c r="CX105" s="70"/>
      <c r="CY105" s="70"/>
      <c r="CZ105" s="70"/>
      <c r="DA105" s="70"/>
      <c r="DB105" s="70"/>
      <c r="DC105" s="70"/>
      <c r="DD105" s="70"/>
      <c r="DE105" s="70"/>
      <c r="DF105" s="70"/>
      <c r="DG105" s="70"/>
      <c r="DH105" s="70"/>
      <c r="DI105" s="70"/>
      <c r="DJ105" s="70"/>
      <c r="DK105" s="70"/>
      <c r="DL105" s="70"/>
      <c r="DM105" s="70"/>
      <c r="DN105" s="70"/>
      <c r="DO105" s="70"/>
      <c r="DP105" s="70"/>
      <c r="DQ105" s="70"/>
      <c r="DR105" s="70"/>
      <c r="DS105" s="70"/>
      <c r="DT105" s="70"/>
      <c r="DU105" s="70"/>
      <c r="DV105" s="70"/>
      <c r="DW105" s="70"/>
      <c r="DX105" s="70"/>
      <c r="DY105" s="70"/>
      <c r="DZ105" s="70"/>
      <c r="EA105" s="70"/>
      <c r="EB105" s="70"/>
      <c r="EC105" s="70"/>
      <c r="ED105" s="70"/>
      <c r="EE105" s="70"/>
      <c r="EF105" s="70"/>
      <c r="EG105" s="70"/>
      <c r="EH105" s="70"/>
      <c r="EI105" s="70"/>
      <c r="EJ105" s="70"/>
      <c r="EK105" s="70"/>
      <c r="EL105" s="70"/>
      <c r="EM105" s="70"/>
      <c r="EN105" s="70"/>
      <c r="EO105" s="70"/>
      <c r="EP105" s="70"/>
      <c r="EQ105" s="70"/>
      <c r="ER105" s="70"/>
      <c r="ES105" s="70"/>
      <c r="ET105" s="70"/>
      <c r="EU105" s="70"/>
      <c r="EV105" s="70"/>
      <c r="EW105" s="70"/>
      <c r="EX105" s="70"/>
      <c r="EY105" s="70"/>
      <c r="EZ105" s="70"/>
      <c r="FA105" s="70"/>
      <c r="FB105" s="70"/>
      <c r="FC105" s="70"/>
      <c r="FD105" s="70"/>
      <c r="FE105" s="70"/>
      <c r="FF105" s="70"/>
      <c r="FG105" s="70"/>
      <c r="FH105" s="70"/>
      <c r="FI105" s="70"/>
      <c r="FJ105" s="70"/>
      <c r="FK105" s="70"/>
      <c r="FL105" s="70"/>
      <c r="FM105" s="70"/>
      <c r="FN105" s="70"/>
      <c r="FO105" s="70"/>
      <c r="FP105" s="70"/>
      <c r="FQ105" s="70"/>
      <c r="FR105" s="70"/>
      <c r="FS105" s="70"/>
      <c r="FT105" s="70"/>
      <c r="FU105" s="70"/>
    </row>
    <row r="106" spans="1:177" customFormat="1" ht="12.75">
      <c r="A106" s="135"/>
      <c r="B106" s="135"/>
      <c r="C106" s="136"/>
      <c r="D106" s="136"/>
      <c r="E106" s="136"/>
      <c r="F106" s="136"/>
      <c r="G106" s="137"/>
      <c r="H106" s="137"/>
      <c r="I106" s="137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4"/>
      <c r="CS106" s="54"/>
      <c r="CT106" s="54"/>
      <c r="CU106" s="54"/>
      <c r="CV106" s="54"/>
      <c r="CW106" s="54"/>
      <c r="CX106" s="54"/>
      <c r="CY106" s="54"/>
      <c r="CZ106" s="54"/>
      <c r="DA106" s="54"/>
      <c r="DB106" s="54"/>
      <c r="DC106" s="54"/>
      <c r="DD106" s="54"/>
      <c r="DE106" s="54"/>
      <c r="DF106" s="54"/>
      <c r="DG106" s="54"/>
      <c r="DH106" s="54"/>
      <c r="DI106" s="54"/>
      <c r="DJ106" s="54"/>
      <c r="DK106" s="54"/>
      <c r="DL106" s="54"/>
      <c r="DM106" s="54"/>
      <c r="DN106" s="54"/>
      <c r="DO106" s="54"/>
      <c r="DP106" s="54"/>
      <c r="DQ106" s="54"/>
      <c r="DR106" s="54"/>
      <c r="DS106" s="54"/>
      <c r="DT106" s="54"/>
      <c r="DU106" s="54"/>
      <c r="DV106" s="54"/>
      <c r="DW106" s="54"/>
      <c r="DX106" s="54"/>
      <c r="DY106" s="54"/>
      <c r="DZ106" s="54"/>
      <c r="EA106" s="54"/>
      <c r="EB106" s="54"/>
      <c r="EC106" s="54"/>
      <c r="ED106" s="54"/>
      <c r="EE106" s="54"/>
      <c r="EF106" s="54"/>
      <c r="EG106" s="54"/>
      <c r="EH106" s="54"/>
      <c r="EI106" s="54"/>
      <c r="EJ106" s="54"/>
      <c r="EK106" s="54"/>
      <c r="EL106" s="54"/>
      <c r="EM106" s="54"/>
      <c r="EN106" s="54"/>
      <c r="EO106" s="54"/>
      <c r="EP106" s="54"/>
      <c r="EQ106" s="54"/>
      <c r="ER106" s="54"/>
      <c r="ES106" s="54"/>
      <c r="ET106" s="54"/>
      <c r="EU106" s="54"/>
      <c r="EV106" s="54"/>
      <c r="EW106" s="54"/>
      <c r="EX106" s="54"/>
      <c r="EY106" s="54"/>
      <c r="EZ106" s="54"/>
      <c r="FA106" s="54"/>
      <c r="FB106" s="54"/>
      <c r="FC106" s="54"/>
      <c r="FD106" s="54"/>
      <c r="FE106" s="54"/>
      <c r="FF106" s="54"/>
      <c r="FG106" s="54"/>
      <c r="FH106" s="54"/>
      <c r="FI106" s="54"/>
      <c r="FJ106" s="54"/>
      <c r="FK106" s="54"/>
      <c r="FL106" s="54"/>
      <c r="FM106" s="54"/>
      <c r="FN106" s="54"/>
      <c r="FO106" s="54"/>
      <c r="FP106" s="54"/>
      <c r="FQ106" s="54"/>
      <c r="FR106" s="54"/>
      <c r="FS106" s="54"/>
      <c r="FT106" s="54"/>
      <c r="FU106" s="54"/>
    </row>
    <row r="107" spans="1:177" customFormat="1" ht="12.75">
      <c r="A107" s="555" t="str">
        <f>Parâmetros!A7</f>
        <v>Município de : PORTÃO/RS</v>
      </c>
      <c r="B107" s="553"/>
      <c r="C107" s="553"/>
      <c r="D107" s="553"/>
      <c r="E107" s="553"/>
      <c r="F107" s="553"/>
      <c r="G107" s="553"/>
      <c r="H107" s="553"/>
      <c r="I107" s="553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54"/>
      <c r="CP107" s="54"/>
      <c r="CQ107" s="54"/>
      <c r="CR107" s="54"/>
      <c r="CS107" s="54"/>
      <c r="CT107" s="54"/>
      <c r="CU107" s="54"/>
      <c r="CV107" s="54"/>
      <c r="CW107" s="54"/>
      <c r="CX107" s="54"/>
      <c r="CY107" s="54"/>
      <c r="CZ107" s="54"/>
      <c r="DA107" s="54"/>
      <c r="DB107" s="54"/>
      <c r="DC107" s="54"/>
      <c r="DD107" s="54"/>
      <c r="DE107" s="54"/>
      <c r="DF107" s="54"/>
      <c r="DG107" s="54"/>
      <c r="DH107" s="54"/>
      <c r="DI107" s="54"/>
      <c r="DJ107" s="54"/>
      <c r="DK107" s="54"/>
      <c r="DL107" s="54"/>
      <c r="DM107" s="54"/>
      <c r="DN107" s="54"/>
      <c r="DO107" s="54"/>
      <c r="DP107" s="54"/>
      <c r="DQ107" s="54"/>
      <c r="DR107" s="54"/>
      <c r="DS107" s="54"/>
      <c r="DT107" s="54"/>
      <c r="DU107" s="54"/>
      <c r="DV107" s="54"/>
      <c r="DW107" s="54"/>
      <c r="DX107" s="54"/>
      <c r="DY107" s="54"/>
      <c r="DZ107" s="54"/>
      <c r="EA107" s="54"/>
      <c r="EB107" s="54"/>
      <c r="EC107" s="54"/>
      <c r="ED107" s="54"/>
      <c r="EE107" s="54"/>
      <c r="EF107" s="54"/>
      <c r="EG107" s="54"/>
      <c r="EH107" s="54"/>
      <c r="EI107" s="54"/>
      <c r="EJ107" s="54"/>
      <c r="EK107" s="54"/>
      <c r="EL107" s="54"/>
      <c r="EM107" s="54"/>
      <c r="EN107" s="54"/>
      <c r="EO107" s="54"/>
      <c r="EP107" s="54"/>
      <c r="EQ107" s="54"/>
      <c r="ER107" s="54"/>
      <c r="ES107" s="54"/>
      <c r="ET107" s="54"/>
      <c r="EU107" s="54"/>
      <c r="EV107" s="54"/>
      <c r="EW107" s="54"/>
      <c r="EX107" s="54"/>
      <c r="EY107" s="54"/>
      <c r="EZ107" s="54"/>
      <c r="FA107" s="54"/>
      <c r="FB107" s="54"/>
      <c r="FC107" s="54"/>
      <c r="FD107" s="54"/>
      <c r="FE107" s="54"/>
      <c r="FF107" s="54"/>
      <c r="FG107" s="54"/>
      <c r="FH107" s="54"/>
      <c r="FI107" s="54"/>
      <c r="FJ107" s="54"/>
      <c r="FK107" s="54"/>
      <c r="FL107" s="54"/>
      <c r="FM107" s="54"/>
      <c r="FN107" s="54"/>
      <c r="FO107" s="54"/>
      <c r="FP107" s="54"/>
      <c r="FQ107" s="54"/>
      <c r="FR107" s="54"/>
      <c r="FS107" s="54"/>
      <c r="FT107" s="54"/>
      <c r="FU107" s="54"/>
    </row>
    <row r="108" spans="1:177" customFormat="1" ht="12.75">
      <c r="A108" s="554" t="str">
        <f>Parâmetros!A8</f>
        <v>LEI DE DIRETRIZES ORÇAMENTÁRIAS  PARA 2019</v>
      </c>
      <c r="B108" s="553"/>
      <c r="C108" s="553"/>
      <c r="D108" s="553"/>
      <c r="E108" s="553"/>
      <c r="F108" s="553"/>
      <c r="G108" s="553"/>
      <c r="H108" s="553"/>
      <c r="I108" s="553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  <c r="CJ108" s="54"/>
      <c r="CK108" s="54"/>
      <c r="CL108" s="54"/>
      <c r="CM108" s="54"/>
      <c r="CN108" s="54"/>
      <c r="CO108" s="54"/>
      <c r="CP108" s="54"/>
      <c r="CQ108" s="54"/>
      <c r="CR108" s="54"/>
      <c r="CS108" s="54"/>
      <c r="CT108" s="54"/>
      <c r="CU108" s="54"/>
      <c r="CV108" s="54"/>
      <c r="CW108" s="54"/>
      <c r="CX108" s="54"/>
      <c r="CY108" s="54"/>
      <c r="CZ108" s="54"/>
      <c r="DA108" s="54"/>
      <c r="DB108" s="54"/>
      <c r="DC108" s="54"/>
      <c r="DD108" s="54"/>
      <c r="DE108" s="54"/>
      <c r="DF108" s="54"/>
      <c r="DG108" s="54"/>
      <c r="DH108" s="54"/>
      <c r="DI108" s="54"/>
      <c r="DJ108" s="54"/>
      <c r="DK108" s="54"/>
      <c r="DL108" s="54"/>
      <c r="DM108" s="54"/>
      <c r="DN108" s="54"/>
      <c r="DO108" s="54"/>
      <c r="DP108" s="54"/>
      <c r="DQ108" s="54"/>
      <c r="DR108" s="54"/>
      <c r="DS108" s="54"/>
      <c r="DT108" s="54"/>
      <c r="DU108" s="54"/>
      <c r="DV108" s="54"/>
      <c r="DW108" s="54"/>
      <c r="DX108" s="54"/>
      <c r="DY108" s="54"/>
      <c r="DZ108" s="54"/>
      <c r="EA108" s="54"/>
      <c r="EB108" s="54"/>
      <c r="EC108" s="54"/>
      <c r="ED108" s="54"/>
      <c r="EE108" s="54"/>
      <c r="EF108" s="54"/>
      <c r="EG108" s="54"/>
      <c r="EH108" s="54"/>
      <c r="EI108" s="54"/>
      <c r="EJ108" s="54"/>
      <c r="EK108" s="54"/>
      <c r="EL108" s="54"/>
      <c r="EM108" s="54"/>
      <c r="EN108" s="54"/>
      <c r="EO108" s="54"/>
      <c r="EP108" s="54"/>
      <c r="EQ108" s="54"/>
      <c r="ER108" s="54"/>
      <c r="ES108" s="54"/>
      <c r="ET108" s="54"/>
      <c r="EU108" s="54"/>
      <c r="EV108" s="54"/>
      <c r="EW108" s="54"/>
      <c r="EX108" s="54"/>
      <c r="EY108" s="54"/>
      <c r="EZ108" s="54"/>
      <c r="FA108" s="54"/>
      <c r="FB108" s="54"/>
      <c r="FC108" s="54"/>
      <c r="FD108" s="54"/>
      <c r="FE108" s="54"/>
      <c r="FF108" s="54"/>
      <c r="FG108" s="54"/>
      <c r="FH108" s="54"/>
      <c r="FI108" s="54"/>
      <c r="FJ108" s="54"/>
      <c r="FK108" s="54"/>
      <c r="FL108" s="54"/>
      <c r="FM108" s="54"/>
      <c r="FN108" s="54"/>
      <c r="FO108" s="54"/>
      <c r="FP108" s="54"/>
      <c r="FQ108" s="54"/>
      <c r="FR108" s="54"/>
      <c r="FS108" s="54"/>
      <c r="FT108" s="54"/>
      <c r="FU108" s="54"/>
    </row>
    <row r="109" spans="1:177" customFormat="1" ht="12.75">
      <c r="A109" s="552" t="s">
        <v>508</v>
      </c>
      <c r="B109" s="553"/>
      <c r="C109" s="553"/>
      <c r="D109" s="553"/>
      <c r="E109" s="553"/>
      <c r="F109" s="553"/>
      <c r="G109" s="553"/>
      <c r="H109" s="553"/>
      <c r="I109" s="553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54"/>
      <c r="CO109" s="54"/>
      <c r="CP109" s="54"/>
      <c r="CQ109" s="54"/>
      <c r="CR109" s="54"/>
      <c r="CS109" s="54"/>
      <c r="CT109" s="54"/>
      <c r="CU109" s="54"/>
      <c r="CV109" s="54"/>
      <c r="CW109" s="54"/>
      <c r="CX109" s="54"/>
      <c r="CY109" s="54"/>
      <c r="CZ109" s="54"/>
      <c r="DA109" s="54"/>
      <c r="DB109" s="54"/>
      <c r="DC109" s="54"/>
      <c r="DD109" s="54"/>
      <c r="DE109" s="54"/>
      <c r="DF109" s="54"/>
      <c r="DG109" s="54"/>
      <c r="DH109" s="54"/>
      <c r="DI109" s="54"/>
      <c r="DJ109" s="54"/>
      <c r="DK109" s="54"/>
      <c r="DL109" s="54"/>
      <c r="DM109" s="54"/>
      <c r="DN109" s="54"/>
      <c r="DO109" s="54"/>
      <c r="DP109" s="54"/>
      <c r="DQ109" s="54"/>
      <c r="DR109" s="54"/>
      <c r="DS109" s="54"/>
      <c r="DT109" s="54"/>
      <c r="DU109" s="54"/>
      <c r="DV109" s="54"/>
      <c r="DW109" s="54"/>
      <c r="DX109" s="54"/>
      <c r="DY109" s="54"/>
      <c r="DZ109" s="54"/>
      <c r="EA109" s="54"/>
      <c r="EB109" s="54"/>
      <c r="EC109" s="54"/>
      <c r="ED109" s="54"/>
      <c r="EE109" s="54"/>
      <c r="EF109" s="54"/>
      <c r="EG109" s="54"/>
      <c r="EH109" s="54"/>
      <c r="EI109" s="54"/>
      <c r="EJ109" s="54"/>
      <c r="EK109" s="54"/>
      <c r="EL109" s="54"/>
      <c r="EM109" s="54"/>
      <c r="EN109" s="54"/>
      <c r="EO109" s="54"/>
      <c r="EP109" s="54"/>
      <c r="EQ109" s="54"/>
      <c r="ER109" s="54"/>
      <c r="ES109" s="54"/>
      <c r="ET109" s="54"/>
      <c r="EU109" s="54"/>
      <c r="EV109" s="54"/>
      <c r="EW109" s="54"/>
      <c r="EX109" s="54"/>
      <c r="EY109" s="54"/>
      <c r="EZ109" s="54"/>
      <c r="FA109" s="54"/>
      <c r="FB109" s="54"/>
      <c r="FC109" s="54"/>
      <c r="FD109" s="54"/>
      <c r="FE109" s="54"/>
      <c r="FF109" s="54"/>
      <c r="FG109" s="54"/>
      <c r="FH109" s="54"/>
      <c r="FI109" s="54"/>
      <c r="FJ109" s="54"/>
      <c r="FK109" s="54"/>
      <c r="FL109" s="54"/>
      <c r="FM109" s="54"/>
      <c r="FN109" s="54"/>
      <c r="FO109" s="54"/>
      <c r="FP109" s="54"/>
      <c r="FQ109" s="54"/>
      <c r="FR109" s="54"/>
      <c r="FS109" s="54"/>
      <c r="FT109" s="54"/>
      <c r="FU109" s="54"/>
    </row>
    <row r="110" spans="1:177" customFormat="1" ht="13.5">
      <c r="A110" s="135"/>
      <c r="B110" s="135"/>
      <c r="C110" s="136"/>
      <c r="D110" s="136"/>
      <c r="E110" s="136"/>
      <c r="F110" s="136"/>
      <c r="G110" s="137"/>
      <c r="H110" s="137"/>
      <c r="I110" s="143" t="s">
        <v>55</v>
      </c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54"/>
      <c r="CO110" s="54"/>
      <c r="CP110" s="54"/>
      <c r="CQ110" s="54"/>
      <c r="CR110" s="54"/>
      <c r="CS110" s="54"/>
      <c r="CT110" s="54"/>
      <c r="CU110" s="54"/>
      <c r="CV110" s="54"/>
      <c r="CW110" s="54"/>
      <c r="CX110" s="54"/>
      <c r="CY110" s="54"/>
      <c r="CZ110" s="54"/>
      <c r="DA110" s="54"/>
      <c r="DB110" s="54"/>
      <c r="DC110" s="54"/>
      <c r="DD110" s="54"/>
      <c r="DE110" s="54"/>
      <c r="DF110" s="54"/>
      <c r="DG110" s="54"/>
      <c r="DH110" s="54"/>
      <c r="DI110" s="54"/>
      <c r="DJ110" s="54"/>
      <c r="DK110" s="54"/>
      <c r="DL110" s="54"/>
      <c r="DM110" s="54"/>
      <c r="DN110" s="54"/>
      <c r="DO110" s="54"/>
      <c r="DP110" s="54"/>
      <c r="DQ110" s="54"/>
      <c r="DR110" s="54"/>
      <c r="DS110" s="54"/>
      <c r="DT110" s="54"/>
      <c r="DU110" s="54"/>
      <c r="DV110" s="54"/>
      <c r="DW110" s="54"/>
      <c r="DX110" s="54"/>
      <c r="DY110" s="54"/>
      <c r="DZ110" s="54"/>
      <c r="EA110" s="54"/>
      <c r="EB110" s="54"/>
      <c r="EC110" s="54"/>
      <c r="ED110" s="54"/>
      <c r="EE110" s="54"/>
      <c r="EF110" s="54"/>
      <c r="EG110" s="54"/>
      <c r="EH110" s="54"/>
      <c r="EI110" s="54"/>
      <c r="EJ110" s="54"/>
      <c r="EK110" s="54"/>
      <c r="EL110" s="54"/>
      <c r="EM110" s="54"/>
      <c r="EN110" s="54"/>
      <c r="EO110" s="54"/>
      <c r="EP110" s="54"/>
      <c r="EQ110" s="54"/>
      <c r="ER110" s="54"/>
      <c r="ES110" s="54"/>
      <c r="ET110" s="54"/>
      <c r="EU110" s="54"/>
      <c r="EV110" s="54"/>
      <c r="EW110" s="54"/>
      <c r="EX110" s="54"/>
      <c r="EY110" s="54"/>
      <c r="EZ110" s="54"/>
      <c r="FA110" s="54"/>
      <c r="FB110" s="54"/>
      <c r="FC110" s="54"/>
      <c r="FD110" s="54"/>
      <c r="FE110" s="54"/>
      <c r="FF110" s="54"/>
      <c r="FG110" s="54"/>
      <c r="FH110" s="54"/>
      <c r="FI110" s="54"/>
      <c r="FJ110" s="54"/>
      <c r="FK110" s="54"/>
      <c r="FL110" s="54"/>
      <c r="FM110" s="54"/>
      <c r="FN110" s="54"/>
      <c r="FO110" s="54"/>
      <c r="FP110" s="54"/>
      <c r="FQ110" s="54"/>
      <c r="FR110" s="54"/>
      <c r="FS110" s="54"/>
      <c r="FT110" s="54"/>
      <c r="FU110" s="54"/>
    </row>
    <row r="111" spans="1:177" s="1" customFormat="1">
      <c r="A111" s="99"/>
      <c r="B111" s="100" t="s">
        <v>0</v>
      </c>
      <c r="C111" s="101" t="s">
        <v>506</v>
      </c>
      <c r="D111" s="101" t="s">
        <v>506</v>
      </c>
      <c r="E111" s="101" t="s">
        <v>506</v>
      </c>
      <c r="F111" s="102" t="s">
        <v>507</v>
      </c>
      <c r="G111" s="102" t="s">
        <v>12</v>
      </c>
      <c r="H111" s="103" t="s">
        <v>12</v>
      </c>
      <c r="I111" s="104" t="s">
        <v>12</v>
      </c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  <c r="BM111" s="65"/>
      <c r="BN111" s="65"/>
      <c r="BO111" s="65"/>
      <c r="BP111" s="65"/>
      <c r="BQ111" s="65"/>
      <c r="BR111" s="65"/>
      <c r="BS111" s="65"/>
      <c r="BT111" s="65"/>
      <c r="BU111" s="65"/>
      <c r="BV111" s="65"/>
      <c r="BW111" s="65"/>
      <c r="BX111" s="65"/>
      <c r="BY111" s="65"/>
      <c r="BZ111" s="65"/>
      <c r="CA111" s="65"/>
      <c r="CB111" s="65"/>
      <c r="CC111" s="65"/>
      <c r="CD111" s="65"/>
      <c r="CE111" s="65"/>
      <c r="CF111" s="65"/>
      <c r="CG111" s="65"/>
      <c r="CH111" s="65"/>
      <c r="CI111" s="65"/>
      <c r="CJ111" s="65"/>
      <c r="CK111" s="65"/>
      <c r="CL111" s="65"/>
      <c r="CM111" s="65"/>
      <c r="CN111" s="65"/>
      <c r="CO111" s="65"/>
      <c r="CP111" s="65"/>
      <c r="CQ111" s="65"/>
      <c r="CR111" s="65"/>
      <c r="CS111" s="65"/>
      <c r="CT111" s="65"/>
      <c r="CU111" s="65"/>
      <c r="CV111" s="65"/>
      <c r="CW111" s="65"/>
      <c r="CX111" s="65"/>
      <c r="CY111" s="65"/>
      <c r="CZ111" s="65"/>
      <c r="DA111" s="65"/>
      <c r="DB111" s="65"/>
      <c r="DC111" s="65"/>
      <c r="DD111" s="65"/>
      <c r="DE111" s="65"/>
      <c r="DF111" s="65"/>
      <c r="DG111" s="65"/>
      <c r="DH111" s="65"/>
      <c r="DI111" s="65"/>
      <c r="DJ111" s="65"/>
      <c r="DK111" s="65"/>
      <c r="DL111" s="65"/>
      <c r="DM111" s="65"/>
      <c r="DN111" s="65"/>
      <c r="DO111" s="65"/>
      <c r="DP111" s="65"/>
      <c r="DQ111" s="65"/>
      <c r="DR111" s="65"/>
      <c r="DS111" s="65"/>
      <c r="DT111" s="65"/>
      <c r="DU111" s="65"/>
      <c r="DV111" s="65"/>
      <c r="DW111" s="65"/>
      <c r="DX111" s="65"/>
      <c r="DY111" s="65"/>
      <c r="DZ111" s="65"/>
      <c r="EA111" s="65"/>
      <c r="EB111" s="65"/>
      <c r="EC111" s="65"/>
      <c r="ED111" s="65"/>
      <c r="EE111" s="65"/>
      <c r="EF111" s="65"/>
      <c r="EG111" s="65"/>
      <c r="EH111" s="65"/>
      <c r="EI111" s="65"/>
      <c r="EJ111" s="65"/>
      <c r="EK111" s="65"/>
      <c r="EL111" s="65"/>
      <c r="EM111" s="65"/>
      <c r="EN111" s="65"/>
      <c r="EO111" s="65"/>
      <c r="EP111" s="65"/>
      <c r="EQ111" s="65"/>
      <c r="ER111" s="65"/>
      <c r="ES111" s="65"/>
      <c r="ET111" s="65"/>
      <c r="EU111" s="65"/>
      <c r="EV111" s="65"/>
      <c r="EW111" s="65"/>
      <c r="EX111" s="65"/>
      <c r="EY111" s="65"/>
      <c r="EZ111" s="65"/>
      <c r="FA111" s="65"/>
      <c r="FB111" s="65"/>
      <c r="FC111" s="65"/>
      <c r="FD111" s="65"/>
      <c r="FE111" s="65"/>
      <c r="FF111" s="65"/>
      <c r="FG111" s="65"/>
      <c r="FH111" s="65"/>
      <c r="FI111" s="65"/>
      <c r="FJ111" s="65"/>
      <c r="FK111" s="65"/>
      <c r="FL111" s="65"/>
      <c r="FM111" s="65"/>
      <c r="FN111" s="65"/>
      <c r="FO111" s="65"/>
      <c r="FP111" s="65"/>
      <c r="FQ111" s="65"/>
      <c r="FR111" s="65"/>
      <c r="FS111" s="65"/>
      <c r="FT111" s="65"/>
      <c r="FU111" s="65"/>
    </row>
    <row r="112" spans="1:177" s="1" customFormat="1" ht="27.75" customHeight="1">
      <c r="A112" s="105"/>
      <c r="B112" s="106" t="s">
        <v>8</v>
      </c>
      <c r="C112" s="107">
        <f>C7</f>
        <v>2015</v>
      </c>
      <c r="D112" s="108">
        <f t="shared" ref="D112:I112" si="20">C112+1</f>
        <v>2016</v>
      </c>
      <c r="E112" s="108">
        <f t="shared" si="20"/>
        <v>2017</v>
      </c>
      <c r="F112" s="108">
        <f t="shared" si="20"/>
        <v>2018</v>
      </c>
      <c r="G112" s="108">
        <f t="shared" si="20"/>
        <v>2019</v>
      </c>
      <c r="H112" s="108">
        <f t="shared" si="20"/>
        <v>2020</v>
      </c>
      <c r="I112" s="108">
        <f t="shared" si="20"/>
        <v>2021</v>
      </c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AO112" s="65"/>
      <c r="AP112" s="65"/>
      <c r="AQ112" s="65"/>
      <c r="AR112" s="65"/>
      <c r="AS112" s="65"/>
      <c r="AT112" s="65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5"/>
      <c r="BJ112" s="65"/>
      <c r="BK112" s="65"/>
      <c r="BL112" s="65"/>
      <c r="BM112" s="65"/>
      <c r="BN112" s="65"/>
      <c r="BO112" s="65"/>
      <c r="BP112" s="65"/>
      <c r="BQ112" s="65"/>
      <c r="BR112" s="65"/>
      <c r="BS112" s="65"/>
      <c r="BT112" s="65"/>
      <c r="BU112" s="65"/>
      <c r="BV112" s="65"/>
      <c r="BW112" s="65"/>
      <c r="BX112" s="65"/>
      <c r="BY112" s="65"/>
      <c r="BZ112" s="65"/>
      <c r="CA112" s="65"/>
      <c r="CB112" s="65"/>
      <c r="CC112" s="65"/>
      <c r="CD112" s="65"/>
      <c r="CE112" s="65"/>
      <c r="CF112" s="65"/>
      <c r="CG112" s="65"/>
      <c r="CH112" s="65"/>
      <c r="CI112" s="65"/>
      <c r="CJ112" s="65"/>
      <c r="CK112" s="65"/>
      <c r="CL112" s="65"/>
      <c r="CM112" s="65"/>
      <c r="CN112" s="65"/>
      <c r="CO112" s="65"/>
      <c r="CP112" s="65"/>
      <c r="CQ112" s="65"/>
      <c r="CR112" s="65"/>
      <c r="CS112" s="65"/>
      <c r="CT112" s="65"/>
      <c r="CU112" s="65"/>
      <c r="CV112" s="65"/>
      <c r="CW112" s="65"/>
      <c r="CX112" s="65"/>
      <c r="CY112" s="65"/>
      <c r="CZ112" s="65"/>
      <c r="DA112" s="65"/>
      <c r="DB112" s="65"/>
      <c r="DC112" s="65"/>
      <c r="DD112" s="65"/>
      <c r="DE112" s="65"/>
      <c r="DF112" s="65"/>
      <c r="DG112" s="65"/>
      <c r="DH112" s="65"/>
      <c r="DI112" s="65"/>
      <c r="DJ112" s="65"/>
      <c r="DK112" s="65"/>
      <c r="DL112" s="65"/>
      <c r="DM112" s="65"/>
      <c r="DN112" s="65"/>
      <c r="DO112" s="65"/>
      <c r="DP112" s="65"/>
      <c r="DQ112" s="65"/>
      <c r="DR112" s="65"/>
      <c r="DS112" s="65"/>
      <c r="DT112" s="65"/>
      <c r="DU112" s="65"/>
      <c r="DV112" s="65"/>
      <c r="DW112" s="65"/>
      <c r="DX112" s="65"/>
      <c r="DY112" s="65"/>
      <c r="DZ112" s="65"/>
      <c r="EA112" s="65"/>
      <c r="EB112" s="65"/>
      <c r="EC112" s="65"/>
      <c r="ED112" s="65"/>
      <c r="EE112" s="65"/>
      <c r="EF112" s="65"/>
      <c r="EG112" s="65"/>
      <c r="EH112" s="65"/>
      <c r="EI112" s="65"/>
      <c r="EJ112" s="65"/>
      <c r="EK112" s="65"/>
      <c r="EL112" s="65"/>
      <c r="EM112" s="65"/>
      <c r="EN112" s="65"/>
      <c r="EO112" s="65"/>
      <c r="EP112" s="65"/>
      <c r="EQ112" s="65"/>
      <c r="ER112" s="65"/>
      <c r="ES112" s="65"/>
      <c r="ET112" s="65"/>
      <c r="EU112" s="65"/>
      <c r="EV112" s="65"/>
      <c r="EW112" s="65"/>
      <c r="EX112" s="65"/>
      <c r="EY112" s="65"/>
      <c r="EZ112" s="65"/>
      <c r="FA112" s="65"/>
      <c r="FB112" s="65"/>
      <c r="FC112" s="65"/>
      <c r="FD112" s="65"/>
      <c r="FE112" s="65"/>
      <c r="FF112" s="65"/>
      <c r="FG112" s="65"/>
      <c r="FH112" s="65"/>
      <c r="FI112" s="65"/>
      <c r="FJ112" s="65"/>
      <c r="FK112" s="65"/>
      <c r="FL112" s="65"/>
      <c r="FM112" s="65"/>
      <c r="FN112" s="65"/>
      <c r="FO112" s="65"/>
      <c r="FP112" s="65"/>
      <c r="FQ112" s="65"/>
      <c r="FR112" s="65"/>
      <c r="FS112" s="65"/>
      <c r="FT112" s="65"/>
      <c r="FU112" s="65"/>
    </row>
    <row r="113" spans="1:177" s="58" customFormat="1" ht="12.75">
      <c r="A113" s="144" t="s">
        <v>42</v>
      </c>
      <c r="B113" s="145" t="s">
        <v>1</v>
      </c>
      <c r="C113" s="129">
        <f t="shared" ref="C113:I113" si="21">C114+C118+C122</f>
        <v>59125740.030000001</v>
      </c>
      <c r="D113" s="129">
        <f t="shared" si="21"/>
        <v>67296925.020000011</v>
      </c>
      <c r="E113" s="129">
        <f t="shared" si="21"/>
        <v>69415072.459999993</v>
      </c>
      <c r="F113" s="129">
        <f t="shared" si="21"/>
        <v>80202740</v>
      </c>
      <c r="G113" s="129">
        <f t="shared" si="21"/>
        <v>86813294.062190562</v>
      </c>
      <c r="H113" s="129">
        <f t="shared" si="21"/>
        <v>92059214.48772642</v>
      </c>
      <c r="I113" s="129">
        <f t="shared" si="21"/>
        <v>98553970.293483987</v>
      </c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  <c r="AW113" s="67"/>
      <c r="AX113" s="67"/>
      <c r="AY113" s="67"/>
      <c r="AZ113" s="67"/>
      <c r="BA113" s="67"/>
      <c r="BB113" s="67"/>
      <c r="BC113" s="67"/>
      <c r="BD113" s="67"/>
      <c r="BE113" s="67"/>
      <c r="BF113" s="67"/>
      <c r="BG113" s="67"/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  <c r="BZ113" s="67"/>
      <c r="CA113" s="67"/>
      <c r="CB113" s="67"/>
      <c r="CC113" s="67"/>
      <c r="CD113" s="6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  <c r="EX113" s="67"/>
      <c r="EY113" s="67"/>
      <c r="EZ113" s="67"/>
      <c r="FA113" s="67"/>
      <c r="FB113" s="67"/>
      <c r="FC113" s="67"/>
      <c r="FD113" s="67"/>
      <c r="FE113" s="67"/>
      <c r="FF113" s="67"/>
      <c r="FG113" s="67"/>
      <c r="FH113" s="67"/>
      <c r="FI113" s="67"/>
      <c r="FJ113" s="67"/>
      <c r="FK113" s="67"/>
      <c r="FL113" s="67"/>
      <c r="FM113" s="67"/>
      <c r="FN113" s="67"/>
      <c r="FO113" s="67"/>
      <c r="FP113" s="67"/>
      <c r="FQ113" s="67"/>
      <c r="FR113" s="67"/>
      <c r="FS113" s="67"/>
      <c r="FT113" s="67"/>
      <c r="FU113" s="67"/>
    </row>
    <row r="114" spans="1:177" s="58" customFormat="1" ht="12.75">
      <c r="A114" s="144" t="s">
        <v>43</v>
      </c>
      <c r="B114" s="145" t="s">
        <v>44</v>
      </c>
      <c r="C114" s="129">
        <f>C115+C116+C117</f>
        <v>41100348.030000001</v>
      </c>
      <c r="D114" s="129">
        <f t="shared" ref="D114:I114" si="22">D115+D116+D117</f>
        <v>48538844.859999999</v>
      </c>
      <c r="E114" s="129">
        <f t="shared" si="22"/>
        <v>50102872.549999997</v>
      </c>
      <c r="F114" s="129">
        <f>F115+F116+F117</f>
        <v>54022400</v>
      </c>
      <c r="G114" s="129">
        <f t="shared" si="22"/>
        <v>61695463.46701441</v>
      </c>
      <c r="H114" s="129">
        <f t="shared" si="22"/>
        <v>66028805.661217488</v>
      </c>
      <c r="I114" s="129">
        <f t="shared" si="22"/>
        <v>71432400.476642579</v>
      </c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7"/>
      <c r="BA114" s="67"/>
      <c r="BB114" s="67"/>
      <c r="BC114" s="67"/>
      <c r="BD114" s="67"/>
      <c r="BE114" s="67"/>
      <c r="BF114" s="67"/>
      <c r="BG114" s="67"/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  <c r="EX114" s="67"/>
      <c r="EY114" s="67"/>
      <c r="EZ114" s="67"/>
      <c r="FA114" s="67"/>
      <c r="FB114" s="67"/>
      <c r="FC114" s="67"/>
      <c r="FD114" s="67"/>
      <c r="FE114" s="67"/>
      <c r="FF114" s="67"/>
      <c r="FG114" s="67"/>
      <c r="FH114" s="67"/>
      <c r="FI114" s="67"/>
      <c r="FJ114" s="67"/>
      <c r="FK114" s="67"/>
      <c r="FL114" s="67"/>
      <c r="FM114" s="67"/>
      <c r="FN114" s="67"/>
      <c r="FO114" s="67"/>
      <c r="FP114" s="67"/>
      <c r="FQ114" s="67"/>
      <c r="FR114" s="67"/>
      <c r="FS114" s="67"/>
      <c r="FT114" s="67"/>
      <c r="FU114" s="67"/>
    </row>
    <row r="115" spans="1:177" s="8" customFormat="1" ht="12.75">
      <c r="A115" s="146" t="s">
        <v>43</v>
      </c>
      <c r="B115" s="147" t="s">
        <v>810</v>
      </c>
      <c r="C115" s="97">
        <v>33226235.09</v>
      </c>
      <c r="D115" s="97">
        <v>39235756.170000002</v>
      </c>
      <c r="E115" s="97">
        <v>39709035.850000001</v>
      </c>
      <c r="F115" s="97">
        <v>40833900</v>
      </c>
      <c r="G115" s="118">
        <v>47878990.859999999</v>
      </c>
      <c r="H115" s="132">
        <f>G115*(1+Parâmetros!F11)*(1+Parâmetros!F13)*(1+Parâmetros!F18)</f>
        <v>51241896.974165574</v>
      </c>
      <c r="I115" s="132">
        <f>H115*(1+Parâmetros!G11)*(1+Parâmetros!G13)*(1+Parâmetros!G18)</f>
        <v>55435376.563101731</v>
      </c>
      <c r="J115" s="539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  <c r="BA115" s="67"/>
      <c r="BB115" s="67"/>
      <c r="BC115" s="67"/>
      <c r="BD115" s="67"/>
      <c r="BE115" s="67"/>
      <c r="BF115" s="67"/>
      <c r="BG115" s="67"/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  <c r="BZ115" s="67"/>
      <c r="CA115" s="67"/>
      <c r="CB115" s="67"/>
      <c r="CC115" s="67"/>
      <c r="CD115" s="6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  <c r="EX115" s="67"/>
      <c r="EY115" s="67"/>
      <c r="EZ115" s="67"/>
      <c r="FA115" s="67"/>
      <c r="FB115" s="67"/>
      <c r="FC115" s="67"/>
      <c r="FD115" s="67"/>
      <c r="FE115" s="67"/>
      <c r="FF115" s="67"/>
      <c r="FG115" s="67"/>
      <c r="FH115" s="67"/>
      <c r="FI115" s="67"/>
      <c r="FJ115" s="67"/>
      <c r="FK115" s="67"/>
      <c r="FL115" s="67"/>
      <c r="FM115" s="67"/>
      <c r="FN115" s="67"/>
      <c r="FO115" s="67"/>
      <c r="FP115" s="67"/>
      <c r="FQ115" s="67"/>
      <c r="FR115" s="67"/>
      <c r="FS115" s="67"/>
      <c r="FT115" s="67"/>
      <c r="FU115" s="67"/>
    </row>
    <row r="116" spans="1:177" s="8" customFormat="1" ht="12.75">
      <c r="A116" s="146" t="s">
        <v>43</v>
      </c>
      <c r="B116" s="147" t="s">
        <v>368</v>
      </c>
      <c r="C116" s="97">
        <v>2453297.65</v>
      </c>
      <c r="D116" s="97">
        <v>2556271.9300000002</v>
      </c>
      <c r="E116" s="97">
        <v>2265465.83</v>
      </c>
      <c r="F116" s="97">
        <v>2833500</v>
      </c>
      <c r="G116" s="118">
        <v>3900000</v>
      </c>
      <c r="H116" s="132">
        <f>G116*(1+Parâmetros!F11)*(1+Parâmetros!F13)*(1+Parâmetros!F19)</f>
        <v>4173926.6974860742</v>
      </c>
      <c r="I116" s="132">
        <f>H116*(1+Parâmetros!G11)*(1+Parâmetros!G13)*(1+Parâmetros!G19)</f>
        <v>4515508.0487863217</v>
      </c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  <c r="BA116" s="67"/>
      <c r="BB116" s="67"/>
      <c r="BC116" s="67"/>
      <c r="BD116" s="67"/>
      <c r="BE116" s="67"/>
      <c r="BF116" s="67"/>
      <c r="BG116" s="67"/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  <c r="EX116" s="67"/>
      <c r="EY116" s="67"/>
      <c r="EZ116" s="67"/>
      <c r="FA116" s="67"/>
      <c r="FB116" s="67"/>
      <c r="FC116" s="67"/>
      <c r="FD116" s="67"/>
      <c r="FE116" s="67"/>
      <c r="FF116" s="67"/>
      <c r="FG116" s="67"/>
      <c r="FH116" s="67"/>
      <c r="FI116" s="67"/>
      <c r="FJ116" s="67"/>
      <c r="FK116" s="67"/>
      <c r="FL116" s="67"/>
      <c r="FM116" s="67"/>
      <c r="FN116" s="67"/>
      <c r="FO116" s="67"/>
      <c r="FP116" s="67"/>
      <c r="FQ116" s="67"/>
      <c r="FR116" s="67"/>
      <c r="FS116" s="67"/>
      <c r="FT116" s="67"/>
      <c r="FU116" s="67"/>
    </row>
    <row r="117" spans="1:177" s="8" customFormat="1" ht="14.25" customHeight="1">
      <c r="A117" s="146" t="s">
        <v>43</v>
      </c>
      <c r="B117" s="147" t="s">
        <v>206</v>
      </c>
      <c r="C117" s="97">
        <v>5420815.29</v>
      </c>
      <c r="D117" s="97">
        <v>6746816.7599999998</v>
      </c>
      <c r="E117" s="97">
        <v>8128370.8700000001</v>
      </c>
      <c r="F117" s="97">
        <v>10355000</v>
      </c>
      <c r="G117" s="118">
        <f>(((D117*(1+Parâmetros!B11)*(1+Parâmetros!C11)*(1+Parâmetros!D11))+(E117*(1+Parâmetros!C11)*(1+Parâmetros!D11)+(F117*(1+Parâmetros!D11))))/3)*(1+Parâmetros!E11)*(1+Parâmetros!E13)*(1+Parâmetros!E18)</f>
        <v>9916472.6070144102</v>
      </c>
      <c r="H117" s="132">
        <f>G117*(1+Parâmetros!F11)*(1+Parâmetros!F13)*(1+Parâmetros!F18)</f>
        <v>10612981.98956584</v>
      </c>
      <c r="I117" s="132">
        <f>H117*(1+Parâmetros!G11)*(1+Parâmetros!G13)*(1+Parâmetros!G18)</f>
        <v>11481515.864754526</v>
      </c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  <c r="AZ117" s="67"/>
      <c r="BA117" s="67"/>
      <c r="BB117" s="67"/>
      <c r="BC117" s="67"/>
      <c r="BD117" s="67"/>
      <c r="BE117" s="67"/>
      <c r="BF117" s="67"/>
      <c r="BG117" s="67"/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  <c r="BZ117" s="67"/>
      <c r="CA117" s="67"/>
      <c r="CB117" s="67"/>
      <c r="CC117" s="67"/>
      <c r="CD117" s="6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  <c r="EX117" s="67"/>
      <c r="EY117" s="67"/>
      <c r="EZ117" s="67"/>
      <c r="FA117" s="67"/>
      <c r="FB117" s="67"/>
      <c r="FC117" s="67"/>
      <c r="FD117" s="67"/>
      <c r="FE117" s="67"/>
      <c r="FF117" s="67"/>
      <c r="FG117" s="67"/>
      <c r="FH117" s="67"/>
      <c r="FI117" s="67"/>
      <c r="FJ117" s="67"/>
      <c r="FK117" s="67"/>
      <c r="FL117" s="67"/>
      <c r="FM117" s="67"/>
      <c r="FN117" s="67"/>
      <c r="FO117" s="67"/>
      <c r="FP117" s="67"/>
      <c r="FQ117" s="67"/>
      <c r="FR117" s="67"/>
      <c r="FS117" s="67"/>
      <c r="FT117" s="67"/>
      <c r="FU117" s="67"/>
    </row>
    <row r="118" spans="1:177" s="59" customFormat="1" ht="12.75">
      <c r="A118" s="144" t="s">
        <v>45</v>
      </c>
      <c r="B118" s="145" t="s">
        <v>130</v>
      </c>
      <c r="C118" s="129">
        <f t="shared" ref="C118:I118" si="23">C119+C120+C121</f>
        <v>0</v>
      </c>
      <c r="D118" s="129">
        <f t="shared" si="23"/>
        <v>0</v>
      </c>
      <c r="E118" s="129">
        <f t="shared" si="23"/>
        <v>142999.85999999999</v>
      </c>
      <c r="F118" s="129">
        <f t="shared" si="23"/>
        <v>395000</v>
      </c>
      <c r="G118" s="129">
        <f t="shared" si="23"/>
        <v>201408.89770356851</v>
      </c>
      <c r="H118" s="129">
        <f t="shared" si="23"/>
        <v>217702.8775277872</v>
      </c>
      <c r="I118" s="129">
        <f t="shared" si="23"/>
        <v>235293.27003203239</v>
      </c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  <c r="CH118" s="54"/>
      <c r="CI118" s="54"/>
      <c r="CJ118" s="54"/>
      <c r="CK118" s="54"/>
      <c r="CL118" s="54"/>
      <c r="CM118" s="54"/>
      <c r="CN118" s="54"/>
      <c r="CO118" s="54"/>
      <c r="CP118" s="54"/>
      <c r="CQ118" s="54"/>
      <c r="CR118" s="54"/>
      <c r="CS118" s="54"/>
      <c r="CT118" s="54"/>
      <c r="CU118" s="54"/>
      <c r="CV118" s="54"/>
      <c r="CW118" s="54"/>
      <c r="CX118" s="54"/>
      <c r="CY118" s="54"/>
      <c r="CZ118" s="54"/>
      <c r="DA118" s="54"/>
      <c r="DB118" s="54"/>
      <c r="DC118" s="54"/>
      <c r="DD118" s="54"/>
      <c r="DE118" s="54"/>
      <c r="DF118" s="54"/>
      <c r="DG118" s="54"/>
      <c r="DH118" s="54"/>
      <c r="DI118" s="54"/>
      <c r="DJ118" s="54"/>
      <c r="DK118" s="54"/>
      <c r="DL118" s="54"/>
      <c r="DM118" s="54"/>
      <c r="DN118" s="54"/>
      <c r="DO118" s="54"/>
      <c r="DP118" s="54"/>
      <c r="DQ118" s="54"/>
      <c r="DR118" s="54"/>
      <c r="DS118" s="54"/>
      <c r="DT118" s="54"/>
      <c r="DU118" s="54"/>
      <c r="DV118" s="54"/>
      <c r="DW118" s="54"/>
      <c r="DX118" s="54"/>
      <c r="DY118" s="54"/>
      <c r="DZ118" s="54"/>
      <c r="EA118" s="54"/>
      <c r="EB118" s="54"/>
      <c r="EC118" s="54"/>
      <c r="ED118" s="54"/>
      <c r="EE118" s="54"/>
      <c r="EF118" s="54"/>
      <c r="EG118" s="54"/>
      <c r="EH118" s="54"/>
      <c r="EI118" s="54"/>
      <c r="EJ118" s="54"/>
      <c r="EK118" s="54"/>
      <c r="EL118" s="54"/>
      <c r="EM118" s="54"/>
      <c r="EN118" s="54"/>
      <c r="EO118" s="54"/>
      <c r="EP118" s="54"/>
      <c r="EQ118" s="54"/>
      <c r="ER118" s="54"/>
      <c r="ES118" s="54"/>
      <c r="ET118" s="54"/>
      <c r="EU118" s="54"/>
      <c r="EV118" s="54"/>
      <c r="EW118" s="54"/>
      <c r="EX118" s="54"/>
      <c r="EY118" s="54"/>
      <c r="EZ118" s="54"/>
      <c r="FA118" s="54"/>
      <c r="FB118" s="54"/>
      <c r="FC118" s="54"/>
      <c r="FD118" s="54"/>
      <c r="FE118" s="54"/>
      <c r="FF118" s="54"/>
      <c r="FG118" s="54"/>
      <c r="FH118" s="54"/>
      <c r="FI118" s="54"/>
      <c r="FJ118" s="54"/>
      <c r="FK118" s="54"/>
      <c r="FL118" s="54"/>
      <c r="FM118" s="54"/>
      <c r="FN118" s="54"/>
      <c r="FO118" s="54"/>
      <c r="FP118" s="54"/>
      <c r="FQ118" s="54"/>
      <c r="FR118" s="54"/>
      <c r="FS118" s="54"/>
      <c r="FT118" s="54"/>
      <c r="FU118" s="54"/>
    </row>
    <row r="119" spans="1:177" customFormat="1" ht="12.75">
      <c r="A119" s="146" t="s">
        <v>45</v>
      </c>
      <c r="B119" s="147" t="s">
        <v>369</v>
      </c>
      <c r="C119" s="97">
        <v>0</v>
      </c>
      <c r="D119" s="97">
        <v>0</v>
      </c>
      <c r="E119" s="97">
        <v>142999.85999999999</v>
      </c>
      <c r="F119" s="97">
        <v>395000</v>
      </c>
      <c r="G119" s="118">
        <f>(((D119*(1+Parâmetros!B11)*(1+Parâmetros!C11)*(1+Parâmetros!D11))+(E119*(1+Parâmetros!C11)*(1+Parâmetros!D11)+(F119*(1+Parâmetros!D11))))/3)*(1+Parâmetros!E21)</f>
        <v>201408.89770356851</v>
      </c>
      <c r="H119" s="132">
        <f>G119*(1+Parâmetros!F21)</f>
        <v>217702.8775277872</v>
      </c>
      <c r="I119" s="132">
        <f>H119*(1+Parâmetros!G21)</f>
        <v>235293.27003203239</v>
      </c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  <c r="CH119" s="54"/>
      <c r="CI119" s="54"/>
      <c r="CJ119" s="54"/>
      <c r="CK119" s="54"/>
      <c r="CL119" s="54"/>
      <c r="CM119" s="54"/>
      <c r="CN119" s="54"/>
      <c r="CO119" s="54"/>
      <c r="CP119" s="54"/>
      <c r="CQ119" s="54"/>
      <c r="CR119" s="54"/>
      <c r="CS119" s="54"/>
      <c r="CT119" s="54"/>
      <c r="CU119" s="54"/>
      <c r="CV119" s="54"/>
      <c r="CW119" s="54"/>
      <c r="CX119" s="54"/>
      <c r="CY119" s="54"/>
      <c r="CZ119" s="54"/>
      <c r="DA119" s="54"/>
      <c r="DB119" s="54"/>
      <c r="DC119" s="54"/>
      <c r="DD119" s="54"/>
      <c r="DE119" s="54"/>
      <c r="DF119" s="54"/>
      <c r="DG119" s="54"/>
      <c r="DH119" s="54"/>
      <c r="DI119" s="54"/>
      <c r="DJ119" s="54"/>
      <c r="DK119" s="54"/>
      <c r="DL119" s="54"/>
      <c r="DM119" s="54"/>
      <c r="DN119" s="54"/>
      <c r="DO119" s="54"/>
      <c r="DP119" s="54"/>
      <c r="DQ119" s="54"/>
      <c r="DR119" s="54"/>
      <c r="DS119" s="54"/>
      <c r="DT119" s="54"/>
      <c r="DU119" s="54"/>
      <c r="DV119" s="54"/>
      <c r="DW119" s="54"/>
      <c r="DX119" s="54"/>
      <c r="DY119" s="54"/>
      <c r="DZ119" s="54"/>
      <c r="EA119" s="54"/>
      <c r="EB119" s="54"/>
      <c r="EC119" s="54"/>
      <c r="ED119" s="54"/>
      <c r="EE119" s="54"/>
      <c r="EF119" s="54"/>
      <c r="EG119" s="54"/>
      <c r="EH119" s="54"/>
      <c r="EI119" s="54"/>
      <c r="EJ119" s="54"/>
      <c r="EK119" s="54"/>
      <c r="EL119" s="54"/>
      <c r="EM119" s="54"/>
      <c r="EN119" s="54"/>
      <c r="EO119" s="54"/>
      <c r="EP119" s="54"/>
      <c r="EQ119" s="54"/>
      <c r="ER119" s="54"/>
      <c r="ES119" s="54"/>
      <c r="ET119" s="54"/>
      <c r="EU119" s="54"/>
      <c r="EV119" s="54"/>
      <c r="EW119" s="54"/>
      <c r="EX119" s="54"/>
      <c r="EY119" s="54"/>
      <c r="EZ119" s="54"/>
      <c r="FA119" s="54"/>
      <c r="FB119" s="54"/>
      <c r="FC119" s="54"/>
      <c r="FD119" s="54"/>
      <c r="FE119" s="54"/>
      <c r="FF119" s="54"/>
      <c r="FG119" s="54"/>
      <c r="FH119" s="54"/>
      <c r="FI119" s="54"/>
      <c r="FJ119" s="54"/>
      <c r="FK119" s="54"/>
      <c r="FL119" s="54"/>
      <c r="FM119" s="54"/>
      <c r="FN119" s="54"/>
      <c r="FO119" s="54"/>
      <c r="FP119" s="54"/>
      <c r="FQ119" s="54"/>
      <c r="FR119" s="54"/>
      <c r="FS119" s="54"/>
      <c r="FT119" s="54"/>
      <c r="FU119" s="54"/>
    </row>
    <row r="120" spans="1:177" customFormat="1" ht="12.75">
      <c r="A120" s="146" t="s">
        <v>45</v>
      </c>
      <c r="B120" s="147" t="s">
        <v>370</v>
      </c>
      <c r="C120" s="97">
        <v>0</v>
      </c>
      <c r="D120" s="97">
        <v>0</v>
      </c>
      <c r="E120" s="97">
        <v>0</v>
      </c>
      <c r="F120" s="97">
        <v>0</v>
      </c>
      <c r="G120" s="118">
        <f>(((D120*(1+Parâmetros!B11)*(1+Parâmetros!C11)*(1+Parâmetros!D11))+(E120*(1+Parâmetros!C11)*(1+Parâmetros!D11)+(F120*(1+Parâmetros!D11))))/3)*(1+Parâmetros!E21)</f>
        <v>0</v>
      </c>
      <c r="H120" s="132">
        <f>G120*(1+Parâmetros!F21)</f>
        <v>0</v>
      </c>
      <c r="I120" s="132">
        <f>H120*(1+Parâmetros!G21)</f>
        <v>0</v>
      </c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  <c r="CG120" s="54"/>
      <c r="CH120" s="54"/>
      <c r="CI120" s="54"/>
      <c r="CJ120" s="54"/>
      <c r="CK120" s="54"/>
      <c r="CL120" s="54"/>
      <c r="CM120" s="54"/>
      <c r="CN120" s="54"/>
      <c r="CO120" s="54"/>
      <c r="CP120" s="54"/>
      <c r="CQ120" s="54"/>
      <c r="CR120" s="54"/>
      <c r="CS120" s="54"/>
      <c r="CT120" s="54"/>
      <c r="CU120" s="54"/>
      <c r="CV120" s="54"/>
      <c r="CW120" s="54"/>
      <c r="CX120" s="54"/>
      <c r="CY120" s="54"/>
      <c r="CZ120" s="54"/>
      <c r="DA120" s="54"/>
      <c r="DB120" s="54"/>
      <c r="DC120" s="54"/>
      <c r="DD120" s="54"/>
      <c r="DE120" s="54"/>
      <c r="DF120" s="54"/>
      <c r="DG120" s="54"/>
      <c r="DH120" s="54"/>
      <c r="DI120" s="54"/>
      <c r="DJ120" s="54"/>
      <c r="DK120" s="54"/>
      <c r="DL120" s="54"/>
      <c r="DM120" s="54"/>
      <c r="DN120" s="54"/>
      <c r="DO120" s="54"/>
      <c r="DP120" s="54"/>
      <c r="DQ120" s="54"/>
      <c r="DR120" s="54"/>
      <c r="DS120" s="54"/>
      <c r="DT120" s="54"/>
      <c r="DU120" s="54"/>
      <c r="DV120" s="54"/>
      <c r="DW120" s="54"/>
      <c r="DX120" s="54"/>
      <c r="DY120" s="54"/>
      <c r="DZ120" s="54"/>
      <c r="EA120" s="54"/>
      <c r="EB120" s="54"/>
      <c r="EC120" s="54"/>
      <c r="ED120" s="54"/>
      <c r="EE120" s="54"/>
      <c r="EF120" s="54"/>
      <c r="EG120" s="54"/>
      <c r="EH120" s="54"/>
      <c r="EI120" s="54"/>
      <c r="EJ120" s="54"/>
      <c r="EK120" s="54"/>
      <c r="EL120" s="54"/>
      <c r="EM120" s="54"/>
      <c r="EN120" s="54"/>
      <c r="EO120" s="54"/>
      <c r="EP120" s="54"/>
      <c r="EQ120" s="54"/>
      <c r="ER120" s="54"/>
      <c r="ES120" s="54"/>
      <c r="ET120" s="54"/>
      <c r="EU120" s="54"/>
      <c r="EV120" s="54"/>
      <c r="EW120" s="54"/>
      <c r="EX120" s="54"/>
      <c r="EY120" s="54"/>
      <c r="EZ120" s="54"/>
      <c r="FA120" s="54"/>
      <c r="FB120" s="54"/>
      <c r="FC120" s="54"/>
      <c r="FD120" s="54"/>
      <c r="FE120" s="54"/>
      <c r="FF120" s="54"/>
      <c r="FG120" s="54"/>
      <c r="FH120" s="54"/>
      <c r="FI120" s="54"/>
      <c r="FJ120" s="54"/>
      <c r="FK120" s="54"/>
      <c r="FL120" s="54"/>
      <c r="FM120" s="54"/>
      <c r="FN120" s="54"/>
      <c r="FO120" s="54"/>
      <c r="FP120" s="54"/>
      <c r="FQ120" s="54"/>
      <c r="FR120" s="54"/>
      <c r="FS120" s="54"/>
      <c r="FT120" s="54"/>
      <c r="FU120" s="54"/>
    </row>
    <row r="121" spans="1:177" customFormat="1" ht="12.75">
      <c r="A121" s="146" t="s">
        <v>45</v>
      </c>
      <c r="B121" s="147" t="s">
        <v>207</v>
      </c>
      <c r="C121" s="97">
        <v>0</v>
      </c>
      <c r="D121" s="97">
        <v>0</v>
      </c>
      <c r="E121" s="97">
        <v>0</v>
      </c>
      <c r="F121" s="97">
        <v>0</v>
      </c>
      <c r="G121" s="118">
        <f>(((D121*(1+Parâmetros!B11)*(1+Parâmetros!C11)*(1+Parâmetros!D11))+(E121*(1+Parâmetros!C11)*(1+Parâmetros!D11)+(F121*(1+Parâmetros!D11))))/3)*(1+Parâmetros!E21)</f>
        <v>0</v>
      </c>
      <c r="H121" s="132">
        <f>G121*(1+Parâmetros!F21)</f>
        <v>0</v>
      </c>
      <c r="I121" s="132">
        <f>H121*(1+Parâmetros!G21)</f>
        <v>0</v>
      </c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  <c r="CG121" s="54"/>
      <c r="CH121" s="54"/>
      <c r="CI121" s="54"/>
      <c r="CJ121" s="54"/>
      <c r="CK121" s="54"/>
      <c r="CL121" s="54"/>
      <c r="CM121" s="54"/>
      <c r="CN121" s="54"/>
      <c r="CO121" s="54"/>
      <c r="CP121" s="54"/>
      <c r="CQ121" s="54"/>
      <c r="CR121" s="54"/>
      <c r="CS121" s="54"/>
      <c r="CT121" s="54"/>
      <c r="CU121" s="54"/>
      <c r="CV121" s="54"/>
      <c r="CW121" s="54"/>
      <c r="CX121" s="54"/>
      <c r="CY121" s="54"/>
      <c r="CZ121" s="54"/>
      <c r="DA121" s="54"/>
      <c r="DB121" s="54"/>
      <c r="DC121" s="54"/>
      <c r="DD121" s="54"/>
      <c r="DE121" s="54"/>
      <c r="DF121" s="54"/>
      <c r="DG121" s="54"/>
      <c r="DH121" s="54"/>
      <c r="DI121" s="54"/>
      <c r="DJ121" s="54"/>
      <c r="DK121" s="54"/>
      <c r="DL121" s="54"/>
      <c r="DM121" s="54"/>
      <c r="DN121" s="54"/>
      <c r="DO121" s="54"/>
      <c r="DP121" s="54"/>
      <c r="DQ121" s="54"/>
      <c r="DR121" s="54"/>
      <c r="DS121" s="54"/>
      <c r="DT121" s="54"/>
      <c r="DU121" s="54"/>
      <c r="DV121" s="54"/>
      <c r="DW121" s="54"/>
      <c r="DX121" s="54"/>
      <c r="DY121" s="54"/>
      <c r="DZ121" s="54"/>
      <c r="EA121" s="54"/>
      <c r="EB121" s="54"/>
      <c r="EC121" s="54"/>
      <c r="ED121" s="54"/>
      <c r="EE121" s="54"/>
      <c r="EF121" s="54"/>
      <c r="EG121" s="54"/>
      <c r="EH121" s="54"/>
      <c r="EI121" s="54"/>
      <c r="EJ121" s="54"/>
      <c r="EK121" s="54"/>
      <c r="EL121" s="54"/>
      <c r="EM121" s="54"/>
      <c r="EN121" s="54"/>
      <c r="EO121" s="54"/>
      <c r="EP121" s="54"/>
      <c r="EQ121" s="54"/>
      <c r="ER121" s="54"/>
      <c r="ES121" s="54"/>
      <c r="ET121" s="54"/>
      <c r="EU121" s="54"/>
      <c r="EV121" s="54"/>
      <c r="EW121" s="54"/>
      <c r="EX121" s="54"/>
      <c r="EY121" s="54"/>
      <c r="EZ121" s="54"/>
      <c r="FA121" s="54"/>
      <c r="FB121" s="54"/>
      <c r="FC121" s="54"/>
      <c r="FD121" s="54"/>
      <c r="FE121" s="54"/>
      <c r="FF121" s="54"/>
      <c r="FG121" s="54"/>
      <c r="FH121" s="54"/>
      <c r="FI121" s="54"/>
      <c r="FJ121" s="54"/>
      <c r="FK121" s="54"/>
      <c r="FL121" s="54"/>
      <c r="FM121" s="54"/>
      <c r="FN121" s="54"/>
      <c r="FO121" s="54"/>
      <c r="FP121" s="54"/>
      <c r="FQ121" s="54"/>
      <c r="FR121" s="54"/>
      <c r="FS121" s="54"/>
      <c r="FT121" s="54"/>
      <c r="FU121" s="54"/>
    </row>
    <row r="122" spans="1:177" s="58" customFormat="1" ht="12.75">
      <c r="A122" s="144" t="s">
        <v>46</v>
      </c>
      <c r="B122" s="145" t="s">
        <v>47</v>
      </c>
      <c r="C122" s="129">
        <f t="shared" ref="C122:I122" si="24">C123+C124+C125</f>
        <v>18025392</v>
      </c>
      <c r="D122" s="129">
        <f t="shared" si="24"/>
        <v>18758080.160000004</v>
      </c>
      <c r="E122" s="129">
        <f t="shared" si="24"/>
        <v>19169200.050000001</v>
      </c>
      <c r="F122" s="129">
        <f t="shared" si="24"/>
        <v>25785340</v>
      </c>
      <c r="G122" s="129">
        <f t="shared" si="24"/>
        <v>24916421.697472584</v>
      </c>
      <c r="H122" s="129">
        <f t="shared" si="24"/>
        <v>25812705.948981136</v>
      </c>
      <c r="I122" s="129">
        <f t="shared" si="24"/>
        <v>26886276.546809379</v>
      </c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  <c r="AU122" s="67"/>
      <c r="AV122" s="67"/>
      <c r="AW122" s="67"/>
      <c r="AX122" s="67"/>
      <c r="AY122" s="67"/>
      <c r="AZ122" s="67"/>
      <c r="BA122" s="67"/>
      <c r="BB122" s="67"/>
      <c r="BC122" s="67"/>
      <c r="BD122" s="67"/>
      <c r="BE122" s="67"/>
      <c r="BF122" s="67"/>
      <c r="BG122" s="67"/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67"/>
      <c r="BZ122" s="67"/>
      <c r="CA122" s="67"/>
      <c r="CB122" s="67"/>
      <c r="CC122" s="67"/>
      <c r="CD122" s="6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67"/>
      <c r="EO122" s="67"/>
      <c r="EP122" s="67"/>
      <c r="EQ122" s="67"/>
      <c r="ER122" s="67"/>
      <c r="ES122" s="67"/>
      <c r="ET122" s="67"/>
      <c r="EU122" s="67"/>
      <c r="EV122" s="67"/>
      <c r="EW122" s="67"/>
      <c r="EX122" s="67"/>
      <c r="EY122" s="67"/>
      <c r="EZ122" s="67"/>
      <c r="FA122" s="67"/>
      <c r="FB122" s="67"/>
      <c r="FC122" s="67"/>
      <c r="FD122" s="67"/>
      <c r="FE122" s="67"/>
      <c r="FF122" s="67"/>
      <c r="FG122" s="67"/>
      <c r="FH122" s="67"/>
      <c r="FI122" s="67"/>
      <c r="FJ122" s="67"/>
      <c r="FK122" s="67"/>
      <c r="FL122" s="67"/>
      <c r="FM122" s="67"/>
      <c r="FN122" s="67"/>
      <c r="FO122" s="67"/>
      <c r="FP122" s="67"/>
      <c r="FQ122" s="67"/>
      <c r="FR122" s="67"/>
      <c r="FS122" s="67"/>
      <c r="FT122" s="67"/>
      <c r="FU122" s="67"/>
    </row>
    <row r="123" spans="1:177" s="8" customFormat="1" ht="12.75">
      <c r="A123" s="146" t="s">
        <v>46</v>
      </c>
      <c r="B123" s="147" t="s">
        <v>371</v>
      </c>
      <c r="C123" s="97">
        <v>17675646.510000002</v>
      </c>
      <c r="D123" s="97">
        <v>18457300.760000002</v>
      </c>
      <c r="E123" s="97">
        <v>18999310.829999998</v>
      </c>
      <c r="F123" s="97">
        <v>25135650</v>
      </c>
      <c r="G123" s="118">
        <v>24500000</v>
      </c>
      <c r="H123" s="132">
        <f>G123*(1+Parâmetros!F11)*(1+Parâmetros!F14)</f>
        <v>25381304.885130718</v>
      </c>
      <c r="I123" s="132">
        <f>H123*(1+Parâmetros!G11)*(1+Parâmetros!G14)</f>
        <v>26436933.17582785</v>
      </c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  <c r="AU123" s="67"/>
      <c r="AV123" s="67"/>
      <c r="AW123" s="67"/>
      <c r="AX123" s="67"/>
      <c r="AY123" s="67"/>
      <c r="AZ123" s="67"/>
      <c r="BA123" s="67"/>
      <c r="BB123" s="67"/>
      <c r="BC123" s="67"/>
      <c r="BD123" s="67"/>
      <c r="BE123" s="67"/>
      <c r="BF123" s="67"/>
      <c r="BG123" s="67"/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  <c r="BZ123" s="67"/>
      <c r="CA123" s="67"/>
      <c r="CB123" s="67"/>
      <c r="CC123" s="67"/>
      <c r="CD123" s="6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67"/>
      <c r="EO123" s="67"/>
      <c r="EP123" s="67"/>
      <c r="EQ123" s="67"/>
      <c r="ER123" s="67"/>
      <c r="ES123" s="67"/>
      <c r="ET123" s="67"/>
      <c r="EU123" s="67"/>
      <c r="EV123" s="67"/>
      <c r="EW123" s="67"/>
      <c r="EX123" s="67"/>
      <c r="EY123" s="67"/>
      <c r="EZ123" s="67"/>
      <c r="FA123" s="67"/>
      <c r="FB123" s="67"/>
      <c r="FC123" s="67"/>
      <c r="FD123" s="67"/>
      <c r="FE123" s="67"/>
      <c r="FF123" s="67"/>
      <c r="FG123" s="67"/>
      <c r="FH123" s="67"/>
      <c r="FI123" s="67"/>
      <c r="FJ123" s="67"/>
      <c r="FK123" s="67"/>
      <c r="FL123" s="67"/>
      <c r="FM123" s="67"/>
      <c r="FN123" s="67"/>
      <c r="FO123" s="67"/>
      <c r="FP123" s="67"/>
      <c r="FQ123" s="67"/>
      <c r="FR123" s="67"/>
      <c r="FS123" s="67"/>
      <c r="FT123" s="67"/>
      <c r="FU123" s="67"/>
    </row>
    <row r="124" spans="1:177" s="8" customFormat="1" ht="12.75">
      <c r="A124" s="146" t="s">
        <v>46</v>
      </c>
      <c r="B124" s="147" t="s">
        <v>372</v>
      </c>
      <c r="C124" s="97">
        <v>300690.09000000003</v>
      </c>
      <c r="D124" s="97">
        <v>253951.14</v>
      </c>
      <c r="E124" s="97">
        <v>146112.92000000001</v>
      </c>
      <c r="F124" s="97">
        <v>394690</v>
      </c>
      <c r="G124" s="118">
        <f>(((D124*(1+Parâmetros!B11)*(1+Parâmetros!C11)*(1+Parâmetros!D11))+(E124*(1+Parâmetros!C11)*(1+Parâmetros!D11)+(F124*(1+Parâmetros!D11))))/3)*(1+Parâmetros!E11)*(1+Parâmetros!E14)</f>
        <v>297285.2105948609</v>
      </c>
      <c r="H124" s="132">
        <f>G124*(1+Parâmetros!F11)*(1+Parâmetros!F14)</f>
        <v>307979.04358973296</v>
      </c>
      <c r="I124" s="132">
        <f>H124*(1+Parâmetros!G11)*(1+Parâmetros!G14)</f>
        <v>320788.13251666317</v>
      </c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  <c r="AU124" s="67"/>
      <c r="AV124" s="67"/>
      <c r="AW124" s="67"/>
      <c r="AX124" s="67"/>
      <c r="AY124" s="67"/>
      <c r="AZ124" s="67"/>
      <c r="BA124" s="67"/>
      <c r="BB124" s="67"/>
      <c r="BC124" s="67"/>
      <c r="BD124" s="67"/>
      <c r="BE124" s="67"/>
      <c r="BF124" s="67"/>
      <c r="BG124" s="67"/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  <c r="BZ124" s="67"/>
      <c r="CA124" s="67"/>
      <c r="CB124" s="67"/>
      <c r="CC124" s="67"/>
      <c r="CD124" s="6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67"/>
      <c r="EO124" s="67"/>
      <c r="EP124" s="67"/>
      <c r="EQ124" s="67"/>
      <c r="ER124" s="67"/>
      <c r="ES124" s="67"/>
      <c r="ET124" s="67"/>
      <c r="EU124" s="67"/>
      <c r="EV124" s="67"/>
      <c r="EW124" s="67"/>
      <c r="EX124" s="67"/>
      <c r="EY124" s="67"/>
      <c r="EZ124" s="67"/>
      <c r="FA124" s="67"/>
      <c r="FB124" s="67"/>
      <c r="FC124" s="67"/>
      <c r="FD124" s="67"/>
      <c r="FE124" s="67"/>
      <c r="FF124" s="67"/>
      <c r="FG124" s="67"/>
      <c r="FH124" s="67"/>
      <c r="FI124" s="67"/>
      <c r="FJ124" s="67"/>
      <c r="FK124" s="67"/>
      <c r="FL124" s="67"/>
      <c r="FM124" s="67"/>
      <c r="FN124" s="67"/>
      <c r="FO124" s="67"/>
      <c r="FP124" s="67"/>
      <c r="FQ124" s="67"/>
      <c r="FR124" s="67"/>
      <c r="FS124" s="67"/>
      <c r="FT124" s="67"/>
      <c r="FU124" s="67"/>
    </row>
    <row r="125" spans="1:177" s="8" customFormat="1" ht="12.75">
      <c r="A125" s="146" t="s">
        <v>46</v>
      </c>
      <c r="B125" s="147" t="s">
        <v>373</v>
      </c>
      <c r="C125" s="97">
        <v>49055.4</v>
      </c>
      <c r="D125" s="97">
        <v>46828.26</v>
      </c>
      <c r="E125" s="97">
        <v>23776.3</v>
      </c>
      <c r="F125" s="97">
        <v>255000</v>
      </c>
      <c r="G125" s="118">
        <f>(((D125*(1+Parâmetros!B11)*(1+Parâmetros!C11)*(1+Parâmetros!D11))+(E125*(1+Parâmetros!C11)*(1+Parâmetros!D11)+(F125*(1+Parâmetros!D11))))/3)*(1+Parâmetros!E11)*(1+Parâmetros!E14)</f>
        <v>119136.48687772035</v>
      </c>
      <c r="H125" s="132">
        <f>G125*(1+Parâmetros!F11)*(1+Parâmetros!F14)</f>
        <v>123422.02026068552</v>
      </c>
      <c r="I125" s="132">
        <f>H125*(1+Parâmetros!G11)*(1+Parâmetros!G14)</f>
        <v>128555.23846486467</v>
      </c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  <c r="AU125" s="67"/>
      <c r="AV125" s="67"/>
      <c r="AW125" s="67"/>
      <c r="AX125" s="67"/>
      <c r="AY125" s="67"/>
      <c r="AZ125" s="67"/>
      <c r="BA125" s="67"/>
      <c r="BB125" s="67"/>
      <c r="BC125" s="67"/>
      <c r="BD125" s="67"/>
      <c r="BE125" s="67"/>
      <c r="BF125" s="67"/>
      <c r="BG125" s="67"/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  <c r="BZ125" s="67"/>
      <c r="CA125" s="67"/>
      <c r="CB125" s="67"/>
      <c r="CC125" s="67"/>
      <c r="CD125" s="6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  <c r="EX125" s="67"/>
      <c r="EY125" s="67"/>
      <c r="EZ125" s="67"/>
      <c r="FA125" s="67"/>
      <c r="FB125" s="67"/>
      <c r="FC125" s="67"/>
      <c r="FD125" s="67"/>
      <c r="FE125" s="67"/>
      <c r="FF125" s="67"/>
      <c r="FG125" s="67"/>
      <c r="FH125" s="67"/>
      <c r="FI125" s="67"/>
      <c r="FJ125" s="67"/>
      <c r="FK125" s="67"/>
      <c r="FL125" s="67"/>
      <c r="FM125" s="67"/>
      <c r="FN125" s="67"/>
      <c r="FO125" s="67"/>
      <c r="FP125" s="67"/>
      <c r="FQ125" s="67"/>
      <c r="FR125" s="67"/>
      <c r="FS125" s="67"/>
      <c r="FT125" s="67"/>
      <c r="FU125" s="67"/>
    </row>
    <row r="126" spans="1:177" s="58" customFormat="1" ht="12.75">
      <c r="A126" s="144" t="s">
        <v>48</v>
      </c>
      <c r="B126" s="145" t="s">
        <v>2</v>
      </c>
      <c r="C126" s="129">
        <f t="shared" ref="C126:I126" si="25">C127+C131+C135</f>
        <v>3463393.26</v>
      </c>
      <c r="D126" s="129">
        <f t="shared" si="25"/>
        <v>6258552.8400000008</v>
      </c>
      <c r="E126" s="129">
        <f t="shared" si="25"/>
        <v>3811445.3100000005</v>
      </c>
      <c r="F126" s="129">
        <f t="shared" si="25"/>
        <v>7786950</v>
      </c>
      <c r="G126" s="129">
        <f>G127+G131+G135</f>
        <v>8441095.8000606261</v>
      </c>
      <c r="H126" s="129">
        <f t="shared" si="25"/>
        <v>8544937.6338470615</v>
      </c>
      <c r="I126" s="129">
        <f t="shared" si="25"/>
        <v>10645208.176620636</v>
      </c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  <c r="AU126" s="67"/>
      <c r="AV126" s="67"/>
      <c r="AW126" s="67"/>
      <c r="AX126" s="67"/>
      <c r="AY126" s="67"/>
      <c r="AZ126" s="67"/>
      <c r="BA126" s="67"/>
      <c r="BB126" s="67"/>
      <c r="BC126" s="67"/>
      <c r="BD126" s="67"/>
      <c r="BE126" s="67"/>
      <c r="BF126" s="67"/>
      <c r="BG126" s="67"/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67"/>
      <c r="EO126" s="67"/>
      <c r="EP126" s="67"/>
      <c r="EQ126" s="67"/>
      <c r="ER126" s="67"/>
      <c r="ES126" s="67"/>
      <c r="ET126" s="67"/>
      <c r="EU126" s="67"/>
      <c r="EV126" s="67"/>
      <c r="EW126" s="67"/>
      <c r="EX126" s="67"/>
      <c r="EY126" s="67"/>
      <c r="EZ126" s="67"/>
      <c r="FA126" s="67"/>
      <c r="FB126" s="67"/>
      <c r="FC126" s="67"/>
      <c r="FD126" s="67"/>
      <c r="FE126" s="67"/>
      <c r="FF126" s="67"/>
      <c r="FG126" s="67"/>
      <c r="FH126" s="67"/>
      <c r="FI126" s="67"/>
      <c r="FJ126" s="67"/>
      <c r="FK126" s="67"/>
      <c r="FL126" s="67"/>
      <c r="FM126" s="67"/>
      <c r="FN126" s="67"/>
      <c r="FO126" s="67"/>
      <c r="FP126" s="67"/>
      <c r="FQ126" s="67"/>
      <c r="FR126" s="67"/>
      <c r="FS126" s="67"/>
      <c r="FT126" s="67"/>
      <c r="FU126" s="67"/>
    </row>
    <row r="127" spans="1:177" s="58" customFormat="1" ht="12.75">
      <c r="A127" s="144" t="s">
        <v>49</v>
      </c>
      <c r="B127" s="145" t="s">
        <v>3</v>
      </c>
      <c r="C127" s="129">
        <f t="shared" ref="C127:F127" si="26">C128+C129+C130</f>
        <v>1534353.56</v>
      </c>
      <c r="D127" s="129">
        <f t="shared" si="26"/>
        <v>4412036.1400000006</v>
      </c>
      <c r="E127" s="129">
        <f t="shared" si="26"/>
        <v>1627698.07</v>
      </c>
      <c r="F127" s="129">
        <f t="shared" si="26"/>
        <v>5286950</v>
      </c>
      <c r="G127" s="129">
        <f>G128+G129</f>
        <v>5994510.8799999999</v>
      </c>
      <c r="H127" s="129">
        <v>6000000</v>
      </c>
      <c r="I127" s="129">
        <v>8000000</v>
      </c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  <c r="AU127" s="67"/>
      <c r="AV127" s="67"/>
      <c r="AW127" s="67"/>
      <c r="AX127" s="67"/>
      <c r="AY127" s="67"/>
      <c r="AZ127" s="67"/>
      <c r="BA127" s="67"/>
      <c r="BB127" s="67"/>
      <c r="BC127" s="67"/>
      <c r="BD127" s="67"/>
      <c r="BE127" s="67"/>
      <c r="BF127" s="67"/>
      <c r="BG127" s="67"/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  <c r="BZ127" s="67"/>
      <c r="CA127" s="67"/>
      <c r="CB127" s="67"/>
      <c r="CC127" s="67"/>
      <c r="CD127" s="6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67"/>
      <c r="EO127" s="67"/>
      <c r="EP127" s="67"/>
      <c r="EQ127" s="67"/>
      <c r="ER127" s="67"/>
      <c r="ES127" s="67"/>
      <c r="ET127" s="67"/>
      <c r="EU127" s="67"/>
      <c r="EV127" s="67"/>
      <c r="EW127" s="67"/>
      <c r="EX127" s="67"/>
      <c r="EY127" s="67"/>
      <c r="EZ127" s="67"/>
      <c r="FA127" s="67"/>
      <c r="FB127" s="67"/>
      <c r="FC127" s="67"/>
      <c r="FD127" s="67"/>
      <c r="FE127" s="67"/>
      <c r="FF127" s="67"/>
      <c r="FG127" s="67"/>
      <c r="FH127" s="67"/>
      <c r="FI127" s="67"/>
      <c r="FJ127" s="67"/>
      <c r="FK127" s="67"/>
      <c r="FL127" s="67"/>
      <c r="FM127" s="67"/>
      <c r="FN127" s="67"/>
      <c r="FO127" s="67"/>
      <c r="FP127" s="67"/>
      <c r="FQ127" s="67"/>
      <c r="FR127" s="67"/>
      <c r="FS127" s="67"/>
      <c r="FT127" s="67"/>
      <c r="FU127" s="67"/>
    </row>
    <row r="128" spans="1:177" s="8" customFormat="1" ht="12.75">
      <c r="A128" s="146" t="s">
        <v>49</v>
      </c>
      <c r="B128" s="147" t="s">
        <v>374</v>
      </c>
      <c r="C128" s="97">
        <v>1457022.56</v>
      </c>
      <c r="D128" s="97">
        <v>4355268.91</v>
      </c>
      <c r="E128" s="97">
        <v>1599061.53</v>
      </c>
      <c r="F128" s="97">
        <v>5041950</v>
      </c>
      <c r="G128" s="118">
        <v>5763378.0199999996</v>
      </c>
      <c r="H128" s="132">
        <f>G128*(1+Parâmetros!F11)*(1+Parâmetros!F20)</f>
        <v>11321048.407018978</v>
      </c>
      <c r="I128" s="132">
        <f>H128*(1+Parâmetros!G11)*(1+Parâmetros!G20)</f>
        <v>28355391.862468541</v>
      </c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  <c r="AU128" s="67"/>
      <c r="AV128" s="67"/>
      <c r="AW128" s="67"/>
      <c r="AX128" s="67"/>
      <c r="AY128" s="67"/>
      <c r="AZ128" s="67"/>
      <c r="BA128" s="67"/>
      <c r="BB128" s="67"/>
      <c r="BC128" s="67"/>
      <c r="BD128" s="67"/>
      <c r="BE128" s="67"/>
      <c r="BF128" s="67"/>
      <c r="BG128" s="67"/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7"/>
      <c r="BW128" s="67"/>
      <c r="BX128" s="67"/>
      <c r="BY128" s="67"/>
      <c r="BZ128" s="67"/>
      <c r="CA128" s="67"/>
      <c r="CB128" s="67"/>
      <c r="CC128" s="67"/>
      <c r="CD128" s="6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67"/>
      <c r="EO128" s="67"/>
      <c r="EP128" s="67"/>
      <c r="EQ128" s="67"/>
      <c r="ER128" s="67"/>
      <c r="ES128" s="67"/>
      <c r="ET128" s="67"/>
      <c r="EU128" s="67"/>
      <c r="EV128" s="67"/>
      <c r="EW128" s="67"/>
      <c r="EX128" s="67"/>
      <c r="EY128" s="67"/>
      <c r="EZ128" s="67"/>
      <c r="FA128" s="67"/>
      <c r="FB128" s="67"/>
      <c r="FC128" s="67"/>
      <c r="FD128" s="67"/>
      <c r="FE128" s="67"/>
      <c r="FF128" s="67"/>
      <c r="FG128" s="67"/>
      <c r="FH128" s="67"/>
      <c r="FI128" s="67"/>
      <c r="FJ128" s="67"/>
      <c r="FK128" s="67"/>
      <c r="FL128" s="67"/>
      <c r="FM128" s="67"/>
      <c r="FN128" s="67"/>
      <c r="FO128" s="67"/>
      <c r="FP128" s="67"/>
      <c r="FQ128" s="67"/>
      <c r="FR128" s="67"/>
      <c r="FS128" s="67"/>
      <c r="FT128" s="67"/>
      <c r="FU128" s="67"/>
    </row>
    <row r="129" spans="1:177" s="8" customFormat="1" ht="12.75">
      <c r="A129" s="146" t="s">
        <v>49</v>
      </c>
      <c r="B129" s="147" t="s">
        <v>375</v>
      </c>
      <c r="C129" s="97">
        <v>77331</v>
      </c>
      <c r="D129" s="97">
        <v>56767.23</v>
      </c>
      <c r="E129" s="97">
        <v>28636.54</v>
      </c>
      <c r="F129" s="97">
        <v>245000</v>
      </c>
      <c r="G129" s="118">
        <v>231132.86</v>
      </c>
      <c r="H129" s="132">
        <f>G129*(1+Parâmetros!F11)*(1+Parâmetros!F20)</f>
        <v>454016.080054513</v>
      </c>
      <c r="I129" s="132">
        <f>H129*(1+Parâmetros!G11)*(1+Parâmetros!G20)</f>
        <v>1137156.5069738531</v>
      </c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  <c r="AU129" s="67"/>
      <c r="AV129" s="67"/>
      <c r="AW129" s="67"/>
      <c r="AX129" s="67"/>
      <c r="AY129" s="67"/>
      <c r="AZ129" s="67"/>
      <c r="BA129" s="67"/>
      <c r="BB129" s="67"/>
      <c r="BC129" s="67"/>
      <c r="BD129" s="67"/>
      <c r="BE129" s="67"/>
      <c r="BF129" s="67"/>
      <c r="BG129" s="67"/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  <c r="BZ129" s="67"/>
      <c r="CA129" s="67"/>
      <c r="CB129" s="67"/>
      <c r="CC129" s="67"/>
      <c r="CD129" s="6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67"/>
      <c r="EO129" s="67"/>
      <c r="EP129" s="67"/>
      <c r="EQ129" s="67"/>
      <c r="ER129" s="67"/>
      <c r="ES129" s="67"/>
      <c r="ET129" s="67"/>
      <c r="EU129" s="67"/>
      <c r="EV129" s="67"/>
      <c r="EW129" s="67"/>
      <c r="EX129" s="67"/>
      <c r="EY129" s="67"/>
      <c r="EZ129" s="67"/>
      <c r="FA129" s="67"/>
      <c r="FB129" s="67"/>
      <c r="FC129" s="67"/>
      <c r="FD129" s="67"/>
      <c r="FE129" s="67"/>
      <c r="FF129" s="67"/>
      <c r="FG129" s="67"/>
      <c r="FH129" s="67"/>
      <c r="FI129" s="67"/>
      <c r="FJ129" s="67"/>
      <c r="FK129" s="67"/>
      <c r="FL129" s="67"/>
      <c r="FM129" s="67"/>
      <c r="FN129" s="67"/>
      <c r="FO129" s="67"/>
      <c r="FP129" s="67"/>
      <c r="FQ129" s="67"/>
      <c r="FR129" s="67"/>
      <c r="FS129" s="67"/>
      <c r="FT129" s="67"/>
      <c r="FU129" s="67"/>
    </row>
    <row r="130" spans="1:177" s="8" customFormat="1" ht="12.75">
      <c r="A130" s="146" t="s">
        <v>49</v>
      </c>
      <c r="B130" s="147" t="s">
        <v>631</v>
      </c>
      <c r="C130" s="97">
        <v>0</v>
      </c>
      <c r="D130" s="97">
        <v>0</v>
      </c>
      <c r="E130" s="97">
        <v>0</v>
      </c>
      <c r="F130" s="97">
        <v>0</v>
      </c>
      <c r="G130" s="118">
        <f>(((D130*(1+Parâmetros!B11)*(1+Parâmetros!C11)*(1+Parâmetros!D11))+(E130*(1+Parâmetros!C11)*(1+Parâmetros!D11)+(F130*(1+Parâmetros!D11))))/3)*(1+Parâmetros!E11)*(1+Parâmetros!E20)</f>
        <v>0</v>
      </c>
      <c r="H130" s="132">
        <f>G130*(1+Parâmetros!F11)*(1+Parâmetros!F20)</f>
        <v>0</v>
      </c>
      <c r="I130" s="132">
        <f>H130*(1+Parâmetros!G11)*(1+Parâmetros!G20)</f>
        <v>0</v>
      </c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  <c r="AU130" s="67"/>
      <c r="AV130" s="67"/>
      <c r="AW130" s="67"/>
      <c r="AX130" s="67"/>
      <c r="AY130" s="67"/>
      <c r="AZ130" s="67"/>
      <c r="BA130" s="67"/>
      <c r="BB130" s="67"/>
      <c r="BC130" s="67"/>
      <c r="BD130" s="67"/>
      <c r="BE130" s="67"/>
      <c r="BF130" s="67"/>
      <c r="BG130" s="67"/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  <c r="BZ130" s="67"/>
      <c r="CA130" s="67"/>
      <c r="CB130" s="67"/>
      <c r="CC130" s="67"/>
      <c r="CD130" s="6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67"/>
      <c r="EO130" s="67"/>
      <c r="EP130" s="67"/>
      <c r="EQ130" s="67"/>
      <c r="ER130" s="67"/>
      <c r="ES130" s="67"/>
      <c r="ET130" s="67"/>
      <c r="EU130" s="67"/>
      <c r="EV130" s="67"/>
      <c r="EW130" s="67"/>
      <c r="EX130" s="67"/>
      <c r="EY130" s="67"/>
      <c r="EZ130" s="67"/>
      <c r="FA130" s="67"/>
      <c r="FB130" s="67"/>
      <c r="FC130" s="67"/>
      <c r="FD130" s="67"/>
      <c r="FE130" s="67"/>
      <c r="FF130" s="67"/>
      <c r="FG130" s="67"/>
      <c r="FH130" s="67"/>
      <c r="FI130" s="67"/>
      <c r="FJ130" s="67"/>
      <c r="FK130" s="67"/>
      <c r="FL130" s="67"/>
      <c r="FM130" s="67"/>
      <c r="FN130" s="67"/>
      <c r="FO130" s="67"/>
      <c r="FP130" s="67"/>
      <c r="FQ130" s="67"/>
      <c r="FR130" s="67"/>
      <c r="FS130" s="67"/>
      <c r="FT130" s="67"/>
      <c r="FU130" s="67"/>
    </row>
    <row r="131" spans="1:177" s="58" customFormat="1" ht="12.75">
      <c r="A131" s="144" t="s">
        <v>50</v>
      </c>
      <c r="B131" s="145" t="s">
        <v>4</v>
      </c>
      <c r="C131" s="129">
        <f t="shared" ref="C131:I131" si="27">C132+C133+C134</f>
        <v>0</v>
      </c>
      <c r="D131" s="129">
        <f t="shared" si="27"/>
        <v>0</v>
      </c>
      <c r="E131" s="129">
        <f t="shared" si="27"/>
        <v>0</v>
      </c>
      <c r="F131" s="129">
        <f t="shared" si="27"/>
        <v>0</v>
      </c>
      <c r="G131" s="129">
        <f t="shared" si="27"/>
        <v>0</v>
      </c>
      <c r="H131" s="129">
        <f t="shared" si="27"/>
        <v>0</v>
      </c>
      <c r="I131" s="129">
        <f t="shared" si="27"/>
        <v>0</v>
      </c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  <c r="AU131" s="67"/>
      <c r="AV131" s="67"/>
      <c r="AW131" s="67"/>
      <c r="AX131" s="67"/>
      <c r="AY131" s="67"/>
      <c r="AZ131" s="67"/>
      <c r="BA131" s="67"/>
      <c r="BB131" s="67"/>
      <c r="BC131" s="67"/>
      <c r="BD131" s="67"/>
      <c r="BE131" s="67"/>
      <c r="BF131" s="67"/>
      <c r="BG131" s="67"/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  <c r="BZ131" s="67"/>
      <c r="CA131" s="67"/>
      <c r="CB131" s="67"/>
      <c r="CC131" s="67"/>
      <c r="CD131" s="6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67"/>
      <c r="EO131" s="67"/>
      <c r="EP131" s="67"/>
      <c r="EQ131" s="67"/>
      <c r="ER131" s="67"/>
      <c r="ES131" s="67"/>
      <c r="ET131" s="67"/>
      <c r="EU131" s="67"/>
      <c r="EV131" s="67"/>
      <c r="EW131" s="67"/>
      <c r="EX131" s="67"/>
      <c r="EY131" s="67"/>
      <c r="EZ131" s="67"/>
      <c r="FA131" s="67"/>
      <c r="FB131" s="67"/>
      <c r="FC131" s="67"/>
      <c r="FD131" s="67"/>
      <c r="FE131" s="67"/>
      <c r="FF131" s="67"/>
      <c r="FG131" s="67"/>
      <c r="FH131" s="67"/>
      <c r="FI131" s="67"/>
      <c r="FJ131" s="67"/>
      <c r="FK131" s="67"/>
      <c r="FL131" s="67"/>
      <c r="FM131" s="67"/>
      <c r="FN131" s="67"/>
      <c r="FO131" s="67"/>
      <c r="FP131" s="67"/>
      <c r="FQ131" s="67"/>
      <c r="FR131" s="67"/>
      <c r="FS131" s="67"/>
      <c r="FT131" s="67"/>
      <c r="FU131" s="67"/>
    </row>
    <row r="132" spans="1:177" customFormat="1" ht="12.75">
      <c r="A132" s="146" t="s">
        <v>51</v>
      </c>
      <c r="B132" s="131" t="s">
        <v>52</v>
      </c>
      <c r="C132" s="97">
        <v>0</v>
      </c>
      <c r="D132" s="97">
        <v>0</v>
      </c>
      <c r="E132" s="97">
        <v>0</v>
      </c>
      <c r="F132" s="97">
        <v>0</v>
      </c>
      <c r="G132" s="118">
        <f>(((D132*(1+Parâmetros!B11)*(1+Parâmetros!C11)*(1+Parâmetros!D11))+(E132*(1+Parâmetros!C11)*(1+Parâmetros!D11)+(F132*(1+Parâmetros!D11))))/3)*(1+Parâmetros!E11)</f>
        <v>0</v>
      </c>
      <c r="H132" s="132">
        <f>G132*(1+Parâmetros!F11)</f>
        <v>0</v>
      </c>
      <c r="I132" s="132">
        <f>H132*(1+Parâmetros!G11)</f>
        <v>0</v>
      </c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CJ132" s="54"/>
      <c r="CK132" s="54"/>
      <c r="CL132" s="54"/>
      <c r="CM132" s="54"/>
      <c r="CN132" s="54"/>
      <c r="CO132" s="54"/>
      <c r="CP132" s="54"/>
      <c r="CQ132" s="54"/>
      <c r="CR132" s="54"/>
      <c r="CS132" s="54"/>
      <c r="CT132" s="54"/>
      <c r="CU132" s="54"/>
      <c r="CV132" s="54"/>
      <c r="CW132" s="54"/>
      <c r="CX132" s="54"/>
      <c r="CY132" s="54"/>
      <c r="CZ132" s="54"/>
      <c r="DA132" s="54"/>
      <c r="DB132" s="54"/>
      <c r="DC132" s="54"/>
      <c r="DD132" s="54"/>
      <c r="DE132" s="54"/>
      <c r="DF132" s="54"/>
      <c r="DG132" s="54"/>
      <c r="DH132" s="54"/>
      <c r="DI132" s="54"/>
      <c r="DJ132" s="54"/>
      <c r="DK132" s="54"/>
      <c r="DL132" s="54"/>
      <c r="DM132" s="54"/>
      <c r="DN132" s="54"/>
      <c r="DO132" s="54"/>
      <c r="DP132" s="54"/>
      <c r="DQ132" s="54"/>
      <c r="DR132" s="54"/>
      <c r="DS132" s="54"/>
      <c r="DT132" s="54"/>
      <c r="DU132" s="54"/>
      <c r="DV132" s="54"/>
      <c r="DW132" s="54"/>
      <c r="DX132" s="54"/>
      <c r="DY132" s="54"/>
      <c r="DZ132" s="54"/>
      <c r="EA132" s="54"/>
      <c r="EB132" s="54"/>
      <c r="EC132" s="54"/>
      <c r="ED132" s="54"/>
      <c r="EE132" s="54"/>
      <c r="EF132" s="54"/>
      <c r="EG132" s="54"/>
      <c r="EH132" s="54"/>
      <c r="EI132" s="54"/>
      <c r="EJ132" s="54"/>
      <c r="EK132" s="54"/>
      <c r="EL132" s="54"/>
      <c r="EM132" s="54"/>
      <c r="EN132" s="54"/>
      <c r="EO132" s="54"/>
      <c r="EP132" s="54"/>
      <c r="EQ132" s="54"/>
      <c r="ER132" s="54"/>
      <c r="ES132" s="54"/>
      <c r="ET132" s="54"/>
      <c r="EU132" s="54"/>
      <c r="EV132" s="54"/>
      <c r="EW132" s="54"/>
      <c r="EX132" s="54"/>
      <c r="EY132" s="54"/>
      <c r="EZ132" s="54"/>
      <c r="FA132" s="54"/>
      <c r="FB132" s="54"/>
      <c r="FC132" s="54"/>
      <c r="FD132" s="54"/>
      <c r="FE132" s="54"/>
      <c r="FF132" s="54"/>
      <c r="FG132" s="54"/>
      <c r="FH132" s="54"/>
      <c r="FI132" s="54"/>
      <c r="FJ132" s="54"/>
      <c r="FK132" s="54"/>
      <c r="FL132" s="54"/>
      <c r="FM132" s="54"/>
      <c r="FN132" s="54"/>
      <c r="FO132" s="54"/>
      <c r="FP132" s="54"/>
      <c r="FQ132" s="54"/>
      <c r="FR132" s="54"/>
      <c r="FS132" s="54"/>
      <c r="FT132" s="54"/>
      <c r="FU132" s="54"/>
    </row>
    <row r="133" spans="1:177" customFormat="1" ht="12.75">
      <c r="A133" s="146" t="s">
        <v>376</v>
      </c>
      <c r="B133" s="131" t="s">
        <v>377</v>
      </c>
      <c r="C133" s="97">
        <v>0</v>
      </c>
      <c r="D133" s="97">
        <v>0</v>
      </c>
      <c r="E133" s="97">
        <v>0</v>
      </c>
      <c r="F133" s="97">
        <v>0</v>
      </c>
      <c r="G133" s="118">
        <f>(((D133*(1+Parâmetros!B11)*(1+Parâmetros!C11)*(1+Parâmetros!D11))+(E133*(1+Parâmetros!C11)*(1+Parâmetros!D11)+(F133*(1+Parâmetros!D11))))/3)*(1+Parâmetros!E11)</f>
        <v>0</v>
      </c>
      <c r="H133" s="132">
        <f>G133*(1+Parâmetros!F11)</f>
        <v>0</v>
      </c>
      <c r="I133" s="132">
        <f>H133*(1+Parâmetros!G11)</f>
        <v>0</v>
      </c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  <c r="CG133" s="54"/>
      <c r="CH133" s="54"/>
      <c r="CI133" s="54"/>
      <c r="CJ133" s="54"/>
      <c r="CK133" s="54"/>
      <c r="CL133" s="54"/>
      <c r="CM133" s="54"/>
      <c r="CN133" s="54"/>
      <c r="CO133" s="54"/>
      <c r="CP133" s="54"/>
      <c r="CQ133" s="54"/>
      <c r="CR133" s="54"/>
      <c r="CS133" s="54"/>
      <c r="CT133" s="54"/>
      <c r="CU133" s="54"/>
      <c r="CV133" s="54"/>
      <c r="CW133" s="54"/>
      <c r="CX133" s="54"/>
      <c r="CY133" s="54"/>
      <c r="CZ133" s="54"/>
      <c r="DA133" s="54"/>
      <c r="DB133" s="54"/>
      <c r="DC133" s="54"/>
      <c r="DD133" s="54"/>
      <c r="DE133" s="54"/>
      <c r="DF133" s="54"/>
      <c r="DG133" s="54"/>
      <c r="DH133" s="54"/>
      <c r="DI133" s="54"/>
      <c r="DJ133" s="54"/>
      <c r="DK133" s="54"/>
      <c r="DL133" s="54"/>
      <c r="DM133" s="54"/>
      <c r="DN133" s="54"/>
      <c r="DO133" s="54"/>
      <c r="DP133" s="54"/>
      <c r="DQ133" s="54"/>
      <c r="DR133" s="54"/>
      <c r="DS133" s="54"/>
      <c r="DT133" s="54"/>
      <c r="DU133" s="54"/>
      <c r="DV133" s="54"/>
      <c r="DW133" s="54"/>
      <c r="DX133" s="54"/>
      <c r="DY133" s="54"/>
      <c r="DZ133" s="54"/>
      <c r="EA133" s="54"/>
      <c r="EB133" s="54"/>
      <c r="EC133" s="54"/>
      <c r="ED133" s="54"/>
      <c r="EE133" s="54"/>
      <c r="EF133" s="54"/>
      <c r="EG133" s="54"/>
      <c r="EH133" s="54"/>
      <c r="EI133" s="54"/>
      <c r="EJ133" s="54"/>
      <c r="EK133" s="54"/>
      <c r="EL133" s="54"/>
      <c r="EM133" s="54"/>
      <c r="EN133" s="54"/>
      <c r="EO133" s="54"/>
      <c r="EP133" s="54"/>
      <c r="EQ133" s="54"/>
      <c r="ER133" s="54"/>
      <c r="ES133" s="54"/>
      <c r="ET133" s="54"/>
      <c r="EU133" s="54"/>
      <c r="EV133" s="54"/>
      <c r="EW133" s="54"/>
      <c r="EX133" s="54"/>
      <c r="EY133" s="54"/>
      <c r="EZ133" s="54"/>
      <c r="FA133" s="54"/>
      <c r="FB133" s="54"/>
      <c r="FC133" s="54"/>
      <c r="FD133" s="54"/>
      <c r="FE133" s="54"/>
      <c r="FF133" s="54"/>
      <c r="FG133" s="54"/>
      <c r="FH133" s="54"/>
      <c r="FI133" s="54"/>
      <c r="FJ133" s="54"/>
      <c r="FK133" s="54"/>
      <c r="FL133" s="54"/>
      <c r="FM133" s="54"/>
      <c r="FN133" s="54"/>
      <c r="FO133" s="54"/>
      <c r="FP133" s="54"/>
      <c r="FQ133" s="54"/>
      <c r="FR133" s="54"/>
      <c r="FS133" s="54"/>
      <c r="FT133" s="54"/>
      <c r="FU133" s="54"/>
    </row>
    <row r="134" spans="1:177" customFormat="1" ht="12.75">
      <c r="A134" s="146" t="s">
        <v>376</v>
      </c>
      <c r="B134" s="131" t="s">
        <v>378</v>
      </c>
      <c r="C134" s="97">
        <v>0</v>
      </c>
      <c r="D134" s="97">
        <v>0</v>
      </c>
      <c r="E134" s="97">
        <v>0</v>
      </c>
      <c r="F134" s="97">
        <v>0</v>
      </c>
      <c r="G134" s="118">
        <f>(((D134*(1+Parâmetros!B11)*(1+Parâmetros!C11)*(1+Parâmetros!D11))+(E134*(1+Parâmetros!C11)*(1+Parâmetros!D11)+(F134*(1+Parâmetros!D11))))/3)*(1+Parâmetros!E11)</f>
        <v>0</v>
      </c>
      <c r="H134" s="132">
        <f>G134*(1+Parâmetros!F11)</f>
        <v>0</v>
      </c>
      <c r="I134" s="132">
        <f>H134*(1+Parâmetros!G11)</f>
        <v>0</v>
      </c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  <c r="CG134" s="54"/>
      <c r="CH134" s="54"/>
      <c r="CI134" s="54"/>
      <c r="CJ134" s="54"/>
      <c r="CK134" s="54"/>
      <c r="CL134" s="54"/>
      <c r="CM134" s="54"/>
      <c r="CN134" s="54"/>
      <c r="CO134" s="54"/>
      <c r="CP134" s="54"/>
      <c r="CQ134" s="54"/>
      <c r="CR134" s="54"/>
      <c r="CS134" s="54"/>
      <c r="CT134" s="54"/>
      <c r="CU134" s="54"/>
      <c r="CV134" s="54"/>
      <c r="CW134" s="54"/>
      <c r="CX134" s="54"/>
      <c r="CY134" s="54"/>
      <c r="CZ134" s="54"/>
      <c r="DA134" s="54"/>
      <c r="DB134" s="54"/>
      <c r="DC134" s="54"/>
      <c r="DD134" s="54"/>
      <c r="DE134" s="54"/>
      <c r="DF134" s="54"/>
      <c r="DG134" s="54"/>
      <c r="DH134" s="54"/>
      <c r="DI134" s="54"/>
      <c r="DJ134" s="54"/>
      <c r="DK134" s="54"/>
      <c r="DL134" s="54"/>
      <c r="DM134" s="54"/>
      <c r="DN134" s="54"/>
      <c r="DO134" s="54"/>
      <c r="DP134" s="54"/>
      <c r="DQ134" s="54"/>
      <c r="DR134" s="54"/>
      <c r="DS134" s="54"/>
      <c r="DT134" s="54"/>
      <c r="DU134" s="54"/>
      <c r="DV134" s="54"/>
      <c r="DW134" s="54"/>
      <c r="DX134" s="54"/>
      <c r="DY134" s="54"/>
      <c r="DZ134" s="54"/>
      <c r="EA134" s="54"/>
      <c r="EB134" s="54"/>
      <c r="EC134" s="54"/>
      <c r="ED134" s="54"/>
      <c r="EE134" s="54"/>
      <c r="EF134" s="54"/>
      <c r="EG134" s="54"/>
      <c r="EH134" s="54"/>
      <c r="EI134" s="54"/>
      <c r="EJ134" s="54"/>
      <c r="EK134" s="54"/>
      <c r="EL134" s="54"/>
      <c r="EM134" s="54"/>
      <c r="EN134" s="54"/>
      <c r="EO134" s="54"/>
      <c r="EP134" s="54"/>
      <c r="EQ134" s="54"/>
      <c r="ER134" s="54"/>
      <c r="ES134" s="54"/>
      <c r="ET134" s="54"/>
      <c r="EU134" s="54"/>
      <c r="EV134" s="54"/>
      <c r="EW134" s="54"/>
      <c r="EX134" s="54"/>
      <c r="EY134" s="54"/>
      <c r="EZ134" s="54"/>
      <c r="FA134" s="54"/>
      <c r="FB134" s="54"/>
      <c r="FC134" s="54"/>
      <c r="FD134" s="54"/>
      <c r="FE134" s="54"/>
      <c r="FF134" s="54"/>
      <c r="FG134" s="54"/>
      <c r="FH134" s="54"/>
      <c r="FI134" s="54"/>
      <c r="FJ134" s="54"/>
      <c r="FK134" s="54"/>
      <c r="FL134" s="54"/>
      <c r="FM134" s="54"/>
      <c r="FN134" s="54"/>
      <c r="FO134" s="54"/>
      <c r="FP134" s="54"/>
      <c r="FQ134" s="54"/>
      <c r="FR134" s="54"/>
      <c r="FS134" s="54"/>
      <c r="FT134" s="54"/>
      <c r="FU134" s="54"/>
    </row>
    <row r="135" spans="1:177" s="58" customFormat="1" ht="12.75">
      <c r="A135" s="144" t="s">
        <v>53</v>
      </c>
      <c r="B135" s="145" t="s">
        <v>54</v>
      </c>
      <c r="C135" s="129">
        <f t="shared" ref="C135:I135" si="28">C136+C137+C138</f>
        <v>1929039.7</v>
      </c>
      <c r="D135" s="129">
        <f t="shared" si="28"/>
        <v>1846516.7</v>
      </c>
      <c r="E135" s="129">
        <f t="shared" si="28"/>
        <v>2183747.2400000002</v>
      </c>
      <c r="F135" s="129">
        <f t="shared" si="28"/>
        <v>2500000</v>
      </c>
      <c r="G135" s="129">
        <f t="shared" si="28"/>
        <v>2446584.9200606253</v>
      </c>
      <c r="H135" s="129">
        <f t="shared" si="28"/>
        <v>2544937.6338470625</v>
      </c>
      <c r="I135" s="129">
        <f t="shared" si="28"/>
        <v>2645208.1766206371</v>
      </c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  <c r="AU135" s="67"/>
      <c r="AV135" s="67"/>
      <c r="AW135" s="67"/>
      <c r="AX135" s="67"/>
      <c r="AY135" s="67"/>
      <c r="AZ135" s="67"/>
      <c r="BA135" s="67"/>
      <c r="BB135" s="67"/>
      <c r="BC135" s="67"/>
      <c r="BD135" s="67"/>
      <c r="BE135" s="67"/>
      <c r="BF135" s="67"/>
      <c r="BG135" s="67"/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67"/>
      <c r="BY135" s="67"/>
      <c r="BZ135" s="67"/>
      <c r="CA135" s="67"/>
      <c r="CB135" s="67"/>
      <c r="CC135" s="67"/>
      <c r="CD135" s="6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67"/>
      <c r="EO135" s="67"/>
      <c r="EP135" s="67"/>
      <c r="EQ135" s="67"/>
      <c r="ER135" s="67"/>
      <c r="ES135" s="67"/>
      <c r="ET135" s="67"/>
      <c r="EU135" s="67"/>
      <c r="EV135" s="67"/>
      <c r="EW135" s="67"/>
      <c r="EX135" s="67"/>
      <c r="EY135" s="67"/>
      <c r="EZ135" s="67"/>
      <c r="FA135" s="67"/>
      <c r="FB135" s="67"/>
      <c r="FC135" s="67"/>
      <c r="FD135" s="67"/>
      <c r="FE135" s="67"/>
      <c r="FF135" s="67"/>
      <c r="FG135" s="67"/>
      <c r="FH135" s="67"/>
      <c r="FI135" s="67"/>
      <c r="FJ135" s="67"/>
      <c r="FK135" s="67"/>
      <c r="FL135" s="67"/>
      <c r="FM135" s="67"/>
      <c r="FN135" s="67"/>
      <c r="FO135" s="67"/>
      <c r="FP135" s="67"/>
      <c r="FQ135" s="67"/>
      <c r="FR135" s="67"/>
      <c r="FS135" s="67"/>
      <c r="FT135" s="67"/>
      <c r="FU135" s="67"/>
    </row>
    <row r="136" spans="1:177" s="8" customFormat="1" ht="12.75">
      <c r="A136" s="146" t="s">
        <v>53</v>
      </c>
      <c r="B136" s="131" t="s">
        <v>379</v>
      </c>
      <c r="C136" s="97">
        <v>1929039.7</v>
      </c>
      <c r="D136" s="97">
        <v>1846516.7</v>
      </c>
      <c r="E136" s="97">
        <v>2183747.2400000002</v>
      </c>
      <c r="F136" s="97">
        <v>2500000</v>
      </c>
      <c r="G136" s="118">
        <f>(((D136*(1+Parâmetros!B11)*(1+Parâmetros!C11)*(1+Parâmetros!D11))+(E136*(1+Parâmetros!C11)*(1+Parâmetros!D11)+(F136*(1+Parâmetros!D11))))/3)*(1+Parâmetros!E11)</f>
        <v>2446584.9200606253</v>
      </c>
      <c r="H136" s="132">
        <f>G136*(1+Parâmetros!F11)</f>
        <v>2544937.6338470625</v>
      </c>
      <c r="I136" s="132">
        <f>H136*(1+Parâmetros!G11)</f>
        <v>2645208.1766206371</v>
      </c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  <c r="AU136" s="67"/>
      <c r="AV136" s="67"/>
      <c r="AW136" s="67"/>
      <c r="AX136" s="67"/>
      <c r="AY136" s="67"/>
      <c r="AZ136" s="67"/>
      <c r="BA136" s="67"/>
      <c r="BB136" s="67"/>
      <c r="BC136" s="67"/>
      <c r="BD136" s="67"/>
      <c r="BE136" s="67"/>
      <c r="BF136" s="67"/>
      <c r="BG136" s="67"/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  <c r="BZ136" s="67"/>
      <c r="CA136" s="67"/>
      <c r="CB136" s="67"/>
      <c r="CC136" s="67"/>
      <c r="CD136" s="6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67"/>
      <c r="EO136" s="67"/>
      <c r="EP136" s="67"/>
      <c r="EQ136" s="67"/>
      <c r="ER136" s="67"/>
      <c r="ES136" s="67"/>
      <c r="ET136" s="67"/>
      <c r="EU136" s="67"/>
      <c r="EV136" s="67"/>
      <c r="EW136" s="67"/>
      <c r="EX136" s="67"/>
      <c r="EY136" s="67"/>
      <c r="EZ136" s="67"/>
      <c r="FA136" s="67"/>
      <c r="FB136" s="67"/>
      <c r="FC136" s="67"/>
      <c r="FD136" s="67"/>
      <c r="FE136" s="67"/>
      <c r="FF136" s="67"/>
      <c r="FG136" s="67"/>
      <c r="FH136" s="67"/>
      <c r="FI136" s="67"/>
      <c r="FJ136" s="67"/>
      <c r="FK136" s="67"/>
      <c r="FL136" s="67"/>
      <c r="FM136" s="67"/>
      <c r="FN136" s="67"/>
      <c r="FO136" s="67"/>
      <c r="FP136" s="67"/>
      <c r="FQ136" s="67"/>
      <c r="FR136" s="67"/>
      <c r="FS136" s="67"/>
      <c r="FT136" s="67"/>
      <c r="FU136" s="67"/>
    </row>
    <row r="137" spans="1:177" s="8" customFormat="1" ht="12.75">
      <c r="A137" s="146" t="s">
        <v>53</v>
      </c>
      <c r="B137" s="131" t="s">
        <v>380</v>
      </c>
      <c r="C137" s="97">
        <v>0</v>
      </c>
      <c r="D137" s="97">
        <v>0</v>
      </c>
      <c r="E137" s="97">
        <v>0</v>
      </c>
      <c r="F137" s="97">
        <v>0</v>
      </c>
      <c r="G137" s="118">
        <f>(((D137*(1+Parâmetros!B11)*(1+Parâmetros!C11)*(1+Parâmetros!D11))+(E137*(1+Parâmetros!C11)*(1+Parâmetros!D11)+(F137*(1+Parâmetros!D11))))/3)*(1+Parâmetros!E11)</f>
        <v>0</v>
      </c>
      <c r="H137" s="132">
        <f>G137*(1+Parâmetros!F11)</f>
        <v>0</v>
      </c>
      <c r="I137" s="132">
        <f>H137*(1+Parâmetros!G11)</f>
        <v>0</v>
      </c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  <c r="BZ137" s="67"/>
      <c r="CA137" s="67"/>
      <c r="CB137" s="67"/>
      <c r="CC137" s="67"/>
      <c r="CD137" s="6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67"/>
      <c r="EO137" s="67"/>
      <c r="EP137" s="67"/>
      <c r="EQ137" s="67"/>
      <c r="ER137" s="67"/>
      <c r="ES137" s="67"/>
      <c r="ET137" s="67"/>
      <c r="EU137" s="67"/>
      <c r="EV137" s="67"/>
      <c r="EW137" s="67"/>
      <c r="EX137" s="67"/>
      <c r="EY137" s="67"/>
      <c r="EZ137" s="67"/>
      <c r="FA137" s="67"/>
      <c r="FB137" s="67"/>
      <c r="FC137" s="67"/>
      <c r="FD137" s="67"/>
      <c r="FE137" s="67"/>
      <c r="FF137" s="67"/>
      <c r="FG137" s="67"/>
      <c r="FH137" s="67"/>
      <c r="FI137" s="67"/>
      <c r="FJ137" s="67"/>
      <c r="FK137" s="67"/>
      <c r="FL137" s="67"/>
      <c r="FM137" s="67"/>
      <c r="FN137" s="67"/>
      <c r="FO137" s="67"/>
      <c r="FP137" s="67"/>
      <c r="FQ137" s="67"/>
      <c r="FR137" s="67"/>
      <c r="FS137" s="67"/>
      <c r="FT137" s="67"/>
      <c r="FU137" s="67"/>
    </row>
    <row r="138" spans="1:177" s="8" customFormat="1" ht="12.75">
      <c r="A138" s="146" t="s">
        <v>53</v>
      </c>
      <c r="B138" s="131" t="s">
        <v>381</v>
      </c>
      <c r="C138" s="97">
        <v>0</v>
      </c>
      <c r="D138" s="97">
        <v>0</v>
      </c>
      <c r="E138" s="97">
        <v>0</v>
      </c>
      <c r="F138" s="97">
        <v>0</v>
      </c>
      <c r="G138" s="118">
        <f>(((D138*(1+Parâmetros!B11)*(1+Parâmetros!C11)*(1+Parâmetros!D11))+(E138*(1+Parâmetros!C11)*(1+Parâmetros!D11)+(F138*(1+Parâmetros!D11))))/3)*(1+Parâmetros!E11)</f>
        <v>0</v>
      </c>
      <c r="H138" s="132">
        <f>G138*(1+Parâmetros!F11)</f>
        <v>0</v>
      </c>
      <c r="I138" s="132">
        <f>H138*(1+Parâmetros!G11)</f>
        <v>0</v>
      </c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7"/>
      <c r="AX138" s="67"/>
      <c r="AY138" s="67"/>
      <c r="AZ138" s="67"/>
      <c r="BA138" s="67"/>
      <c r="BB138" s="67"/>
      <c r="BC138" s="67"/>
      <c r="BD138" s="67"/>
      <c r="BE138" s="67"/>
      <c r="BF138" s="67"/>
      <c r="BG138" s="67"/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  <c r="BZ138" s="67"/>
      <c r="CA138" s="67"/>
      <c r="CB138" s="67"/>
      <c r="CC138" s="67"/>
      <c r="CD138" s="6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67"/>
      <c r="EO138" s="67"/>
      <c r="EP138" s="67"/>
      <c r="EQ138" s="67"/>
      <c r="ER138" s="67"/>
      <c r="ES138" s="67"/>
      <c r="ET138" s="67"/>
      <c r="EU138" s="67"/>
      <c r="EV138" s="67"/>
      <c r="EW138" s="67"/>
      <c r="EX138" s="67"/>
      <c r="EY138" s="67"/>
      <c r="EZ138" s="67"/>
      <c r="FA138" s="67"/>
      <c r="FB138" s="67"/>
      <c r="FC138" s="67"/>
      <c r="FD138" s="67"/>
      <c r="FE138" s="67"/>
      <c r="FF138" s="67"/>
      <c r="FG138" s="67"/>
      <c r="FH138" s="67"/>
      <c r="FI138" s="67"/>
      <c r="FJ138" s="67"/>
      <c r="FK138" s="67"/>
      <c r="FL138" s="67"/>
      <c r="FM138" s="67"/>
      <c r="FN138" s="67"/>
      <c r="FO138" s="67"/>
      <c r="FP138" s="67"/>
      <c r="FQ138" s="67"/>
      <c r="FR138" s="67"/>
      <c r="FS138" s="67"/>
      <c r="FT138" s="67"/>
      <c r="FU138" s="67"/>
    </row>
    <row r="139" spans="1:177" s="8" customFormat="1" ht="12.75">
      <c r="A139" s="146" t="s">
        <v>185</v>
      </c>
      <c r="B139" s="131" t="s">
        <v>131</v>
      </c>
      <c r="C139" s="138"/>
      <c r="D139" s="138"/>
      <c r="E139" s="138"/>
      <c r="F139" s="138"/>
      <c r="G139" s="132">
        <f>((G105-G17-G28-G72-G95-G97)-(G115+G116+G119+G120+G123+G124+G128+G129+G132+G133+G134+G136+G137))-1000000</f>
        <v>-11014362.859097004</v>
      </c>
      <c r="H139" s="132">
        <f>((H105-H17-H28-H72-H95-H97)-(H115+H116+H119+H120+H123+H124+H128+H129+H132+H133+H134+H136+H137))</f>
        <v>-18369831.681425527</v>
      </c>
      <c r="I139" s="132">
        <f>((I105-I17-I28-I72-I95-I97)-(I115+I116+I119+I120+I123+I124+I128+I129+I132+I133+I134+I136+I137))</f>
        <v>-38859828.009275973</v>
      </c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  <c r="BA139" s="67"/>
      <c r="BB139" s="67"/>
      <c r="BC139" s="67"/>
      <c r="BD139" s="67"/>
      <c r="BE139" s="67"/>
      <c r="BF139" s="67"/>
      <c r="BG139" s="67"/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  <c r="BZ139" s="67"/>
      <c r="CA139" s="67"/>
      <c r="CB139" s="67"/>
      <c r="CC139" s="67"/>
      <c r="CD139" s="6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67"/>
      <c r="EO139" s="67"/>
      <c r="EP139" s="67"/>
      <c r="EQ139" s="67"/>
      <c r="ER139" s="67"/>
      <c r="ES139" s="67"/>
      <c r="ET139" s="67"/>
      <c r="EU139" s="67"/>
      <c r="EV139" s="67"/>
      <c r="EW139" s="67"/>
      <c r="EX139" s="67"/>
      <c r="EY139" s="67"/>
      <c r="EZ139" s="67"/>
      <c r="FA139" s="67"/>
      <c r="FB139" s="67"/>
      <c r="FC139" s="67"/>
      <c r="FD139" s="67"/>
      <c r="FE139" s="67"/>
      <c r="FF139" s="67"/>
      <c r="FG139" s="67"/>
      <c r="FH139" s="67"/>
      <c r="FI139" s="67"/>
      <c r="FJ139" s="67"/>
      <c r="FK139" s="67"/>
      <c r="FL139" s="67"/>
      <c r="FM139" s="67"/>
      <c r="FN139" s="67"/>
      <c r="FO139" s="67"/>
      <c r="FP139" s="67"/>
      <c r="FQ139" s="67"/>
      <c r="FR139" s="67"/>
      <c r="FS139" s="67"/>
      <c r="FT139" s="67"/>
      <c r="FU139" s="67"/>
    </row>
    <row r="140" spans="1:177" customFormat="1" ht="12.75">
      <c r="A140" s="146" t="s">
        <v>186</v>
      </c>
      <c r="B140" s="147" t="s">
        <v>147</v>
      </c>
      <c r="C140" s="138"/>
      <c r="D140" s="138"/>
      <c r="E140" s="138"/>
      <c r="F140" s="138"/>
      <c r="G140" s="132">
        <v>6964500</v>
      </c>
      <c r="H140" s="132">
        <f>H17+H28+H72+H95+H97-H117-H121-H125-H130-H138</f>
        <v>10706708.367544271</v>
      </c>
      <c r="I140" s="132">
        <f>I17+I28+I72+I95+I97-I117-I121-I125-I130-I138</f>
        <v>11475755.801688224</v>
      </c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  <c r="CB140" s="54"/>
      <c r="CC140" s="54"/>
      <c r="CD140" s="54"/>
      <c r="CE140" s="54"/>
      <c r="CF140" s="54"/>
      <c r="CG140" s="54"/>
      <c r="CH140" s="54"/>
      <c r="CI140" s="54"/>
      <c r="CJ140" s="54"/>
      <c r="CK140" s="54"/>
      <c r="CL140" s="54"/>
      <c r="CM140" s="54"/>
      <c r="CN140" s="54"/>
      <c r="CO140" s="54"/>
      <c r="CP140" s="54"/>
      <c r="CQ140" s="54"/>
      <c r="CR140" s="54"/>
      <c r="CS140" s="54"/>
      <c r="CT140" s="54"/>
      <c r="CU140" s="54"/>
      <c r="CV140" s="54"/>
      <c r="CW140" s="54"/>
      <c r="CX140" s="54"/>
      <c r="CY140" s="54"/>
      <c r="CZ140" s="54"/>
      <c r="DA140" s="54"/>
      <c r="DB140" s="54"/>
      <c r="DC140" s="54"/>
      <c r="DD140" s="54"/>
      <c r="DE140" s="54"/>
      <c r="DF140" s="54"/>
      <c r="DG140" s="54"/>
      <c r="DH140" s="54"/>
      <c r="DI140" s="54"/>
      <c r="DJ140" s="54"/>
      <c r="DK140" s="54"/>
      <c r="DL140" s="54"/>
      <c r="DM140" s="54"/>
      <c r="DN140" s="54"/>
      <c r="DO140" s="54"/>
      <c r="DP140" s="54"/>
      <c r="DQ140" s="54"/>
      <c r="DR140" s="54"/>
      <c r="DS140" s="54"/>
      <c r="DT140" s="54"/>
      <c r="DU140" s="54"/>
      <c r="DV140" s="54"/>
      <c r="DW140" s="54"/>
      <c r="DX140" s="54"/>
      <c r="DY140" s="54"/>
      <c r="DZ140" s="54"/>
      <c r="EA140" s="54"/>
      <c r="EB140" s="54"/>
      <c r="EC140" s="54"/>
      <c r="ED140" s="54"/>
      <c r="EE140" s="54"/>
      <c r="EF140" s="54"/>
      <c r="EG140" s="54"/>
      <c r="EH140" s="54"/>
      <c r="EI140" s="54"/>
      <c r="EJ140" s="54"/>
      <c r="EK140" s="54"/>
      <c r="EL140" s="54"/>
      <c r="EM140" s="54"/>
      <c r="EN140" s="54"/>
      <c r="EO140" s="54"/>
      <c r="EP140" s="54"/>
      <c r="EQ140" s="54"/>
      <c r="ER140" s="54"/>
      <c r="ES140" s="54"/>
      <c r="ET140" s="54"/>
      <c r="EU140" s="54"/>
      <c r="EV140" s="54"/>
      <c r="EW140" s="54"/>
      <c r="EX140" s="54"/>
      <c r="EY140" s="54"/>
      <c r="EZ140" s="54"/>
      <c r="FA140" s="54"/>
      <c r="FB140" s="54"/>
      <c r="FC140" s="54"/>
      <c r="FD140" s="54"/>
      <c r="FE140" s="54"/>
      <c r="FF140" s="54"/>
      <c r="FG140" s="54"/>
      <c r="FH140" s="54"/>
      <c r="FI140" s="54"/>
      <c r="FJ140" s="54"/>
      <c r="FK140" s="54"/>
      <c r="FL140" s="54"/>
      <c r="FM140" s="54"/>
      <c r="FN140" s="54"/>
      <c r="FO140" s="54"/>
      <c r="FP140" s="54"/>
      <c r="FQ140" s="54"/>
      <c r="FR140" s="54"/>
      <c r="FS140" s="54"/>
      <c r="FT140" s="54"/>
      <c r="FU140" s="54"/>
    </row>
    <row r="141" spans="1:177" s="9" customFormat="1" ht="29.25" customHeight="1" thickBot="1">
      <c r="A141" s="148"/>
      <c r="B141" s="134" t="s">
        <v>509</v>
      </c>
      <c r="C141" s="129">
        <f>C113+C126</f>
        <v>62589133.289999999</v>
      </c>
      <c r="D141" s="129">
        <f>D113+D126</f>
        <v>73555477.860000014</v>
      </c>
      <c r="E141" s="129">
        <f>E113+E126</f>
        <v>73226517.769999996</v>
      </c>
      <c r="F141" s="129">
        <f>F113+F126</f>
        <v>87989690</v>
      </c>
      <c r="G141" s="129">
        <f>G113+G126</f>
        <v>95254389.862251192</v>
      </c>
      <c r="H141" s="129">
        <f>H113+H126+H139+H140</f>
        <v>92941028.80769223</v>
      </c>
      <c r="I141" s="129">
        <f>I113+I126+I139+I140</f>
        <v>81815106.262516871</v>
      </c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  <c r="AW141" s="70"/>
      <c r="AX141" s="70"/>
      <c r="AY141" s="70"/>
      <c r="AZ141" s="70"/>
      <c r="BA141" s="70"/>
      <c r="BB141" s="70"/>
      <c r="BC141" s="70"/>
      <c r="BD141" s="70"/>
      <c r="BE141" s="70"/>
      <c r="BF141" s="70"/>
      <c r="BG141" s="70"/>
      <c r="BH141" s="70"/>
      <c r="BI141" s="70"/>
      <c r="BJ141" s="70"/>
      <c r="BK141" s="70"/>
      <c r="BL141" s="70"/>
      <c r="BM141" s="70"/>
      <c r="BN141" s="70"/>
      <c r="BO141" s="70"/>
      <c r="BP141" s="70"/>
      <c r="BQ141" s="70"/>
      <c r="BR141" s="70"/>
      <c r="BS141" s="70"/>
      <c r="BT141" s="70"/>
      <c r="BU141" s="70"/>
      <c r="BV141" s="70"/>
      <c r="BW141" s="70"/>
      <c r="BX141" s="70"/>
      <c r="BY141" s="70"/>
      <c r="BZ141" s="70"/>
      <c r="CA141" s="70"/>
      <c r="CB141" s="70"/>
      <c r="CC141" s="70"/>
      <c r="CD141" s="70"/>
      <c r="CE141" s="70"/>
      <c r="CF141" s="70"/>
      <c r="CG141" s="70"/>
      <c r="CH141" s="70"/>
      <c r="CI141" s="70"/>
      <c r="CJ141" s="70"/>
      <c r="CK141" s="70"/>
      <c r="CL141" s="70"/>
      <c r="CM141" s="70"/>
      <c r="CN141" s="70"/>
      <c r="CO141" s="70"/>
      <c r="CP141" s="70"/>
      <c r="CQ141" s="70"/>
      <c r="CR141" s="70"/>
      <c r="CS141" s="70"/>
      <c r="CT141" s="70"/>
      <c r="CU141" s="70"/>
      <c r="CV141" s="70"/>
      <c r="CW141" s="70"/>
      <c r="CX141" s="70"/>
      <c r="CY141" s="70"/>
      <c r="CZ141" s="70"/>
      <c r="DA141" s="70"/>
      <c r="DB141" s="70"/>
      <c r="DC141" s="70"/>
      <c r="DD141" s="70"/>
      <c r="DE141" s="70"/>
      <c r="DF141" s="70"/>
      <c r="DG141" s="70"/>
      <c r="DH141" s="70"/>
      <c r="DI141" s="70"/>
      <c r="DJ141" s="70"/>
      <c r="DK141" s="70"/>
      <c r="DL141" s="70"/>
      <c r="DM141" s="70"/>
      <c r="DN141" s="70"/>
      <c r="DO141" s="70"/>
      <c r="DP141" s="70"/>
      <c r="DQ141" s="70"/>
      <c r="DR141" s="70"/>
      <c r="DS141" s="70"/>
      <c r="DT141" s="70"/>
      <c r="DU141" s="70"/>
      <c r="DV141" s="70"/>
      <c r="DW141" s="70"/>
      <c r="DX141" s="70"/>
      <c r="DY141" s="70"/>
      <c r="DZ141" s="70"/>
      <c r="EA141" s="70"/>
      <c r="EB141" s="70"/>
      <c r="EC141" s="70"/>
      <c r="ED141" s="70"/>
      <c r="EE141" s="70"/>
      <c r="EF141" s="70"/>
      <c r="EG141" s="70"/>
      <c r="EH141" s="70"/>
      <c r="EI141" s="70"/>
      <c r="EJ141" s="70"/>
      <c r="EK141" s="70"/>
      <c r="EL141" s="70"/>
      <c r="EM141" s="70"/>
      <c r="EN141" s="70"/>
      <c r="EO141" s="70"/>
      <c r="EP141" s="70"/>
      <c r="EQ141" s="70"/>
      <c r="ER141" s="70"/>
      <c r="ES141" s="70"/>
      <c r="ET141" s="70"/>
      <c r="EU141" s="70"/>
      <c r="EV141" s="70"/>
      <c r="EW141" s="70"/>
      <c r="EX141" s="70"/>
      <c r="EY141" s="70"/>
      <c r="EZ141" s="70"/>
      <c r="FA141" s="70"/>
      <c r="FB141" s="70"/>
      <c r="FC141" s="70"/>
      <c r="FD141" s="70"/>
      <c r="FE141" s="70"/>
      <c r="FF141" s="70"/>
      <c r="FG141" s="70"/>
      <c r="FH141" s="70"/>
      <c r="FI141" s="70"/>
      <c r="FJ141" s="70"/>
      <c r="FK141" s="70"/>
      <c r="FL141" s="70"/>
      <c r="FM141" s="70"/>
      <c r="FN141" s="70"/>
      <c r="FO141" s="70"/>
      <c r="FP141" s="70"/>
      <c r="FQ141" s="70"/>
      <c r="FR141" s="70"/>
      <c r="FS141" s="70"/>
      <c r="FT141" s="70"/>
      <c r="FU141" s="70"/>
    </row>
    <row r="142" spans="1:177" s="1" customFormat="1" ht="17.45" hidden="1" customHeight="1">
      <c r="A142" s="15"/>
      <c r="B142" s="19" t="s">
        <v>34</v>
      </c>
      <c r="C142" s="60"/>
      <c r="D142" s="61"/>
      <c r="E142" s="61"/>
      <c r="F142" s="61"/>
      <c r="G142" s="61"/>
      <c r="H142" s="61"/>
      <c r="I142" s="61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65"/>
      <c r="BC142" s="65"/>
      <c r="BD142" s="65"/>
      <c r="BE142" s="65"/>
      <c r="BF142" s="65"/>
      <c r="BG142" s="65"/>
      <c r="BH142" s="65"/>
      <c r="BI142" s="65"/>
      <c r="BJ142" s="65"/>
      <c r="BK142" s="65"/>
      <c r="BL142" s="65"/>
      <c r="BM142" s="65"/>
      <c r="BN142" s="65"/>
      <c r="BO142" s="65"/>
      <c r="BP142" s="65"/>
      <c r="BQ142" s="65"/>
      <c r="BR142" s="65"/>
      <c r="BS142" s="65"/>
      <c r="BT142" s="65"/>
      <c r="BU142" s="65"/>
      <c r="BV142" s="65"/>
      <c r="BW142" s="65"/>
      <c r="BX142" s="65"/>
      <c r="BY142" s="65"/>
      <c r="BZ142" s="65"/>
      <c r="CA142" s="65"/>
      <c r="CB142" s="65"/>
      <c r="CC142" s="65"/>
      <c r="CD142" s="65"/>
      <c r="CE142" s="65"/>
      <c r="CF142" s="65"/>
      <c r="CG142" s="65"/>
      <c r="CH142" s="65"/>
      <c r="CI142" s="65"/>
      <c r="CJ142" s="65"/>
      <c r="CK142" s="65"/>
      <c r="CL142" s="65"/>
      <c r="CM142" s="65"/>
      <c r="CN142" s="65"/>
      <c r="CO142" s="65"/>
      <c r="CP142" s="65"/>
      <c r="CQ142" s="65"/>
      <c r="CR142" s="65"/>
      <c r="CS142" s="65"/>
      <c r="CT142" s="65"/>
      <c r="CU142" s="65"/>
      <c r="CV142" s="65"/>
      <c r="CW142" s="65"/>
      <c r="CX142" s="65"/>
      <c r="CY142" s="65"/>
      <c r="CZ142" s="65"/>
      <c r="DA142" s="65"/>
      <c r="DB142" s="65"/>
      <c r="DC142" s="65"/>
      <c r="DD142" s="65"/>
      <c r="DE142" s="65"/>
      <c r="DF142" s="65"/>
      <c r="DG142" s="65"/>
      <c r="DH142" s="65"/>
      <c r="DI142" s="65"/>
      <c r="DJ142" s="65"/>
      <c r="DK142" s="65"/>
      <c r="DL142" s="65"/>
      <c r="DM142" s="65"/>
      <c r="DN142" s="65"/>
      <c r="DO142" s="65"/>
      <c r="DP142" s="65"/>
      <c r="DQ142" s="65"/>
      <c r="DR142" s="65"/>
      <c r="DS142" s="65"/>
      <c r="DT142" s="65"/>
      <c r="DU142" s="65"/>
      <c r="DV142" s="65"/>
      <c r="DW142" s="65"/>
      <c r="DX142" s="65"/>
      <c r="DY142" s="65"/>
      <c r="DZ142" s="65"/>
      <c r="EA142" s="65"/>
      <c r="EB142" s="65"/>
      <c r="EC142" s="65"/>
      <c r="ED142" s="65"/>
      <c r="EE142" s="65"/>
      <c r="EF142" s="65"/>
      <c r="EG142" s="65"/>
      <c r="EH142" s="65"/>
      <c r="EI142" s="65"/>
      <c r="EJ142" s="65"/>
      <c r="EK142" s="65"/>
      <c r="EL142" s="65"/>
      <c r="EM142" s="65"/>
      <c r="EN142" s="65"/>
      <c r="EO142" s="65"/>
      <c r="EP142" s="65"/>
      <c r="EQ142" s="65"/>
      <c r="ER142" s="65"/>
      <c r="ES142" s="65"/>
      <c r="ET142" s="65"/>
      <c r="EU142" s="65"/>
      <c r="EV142" s="65"/>
      <c r="EW142" s="65"/>
      <c r="EX142" s="65"/>
      <c r="EY142" s="65"/>
      <c r="EZ142" s="65"/>
      <c r="FA142" s="65"/>
      <c r="FB142" s="65"/>
      <c r="FC142" s="65"/>
      <c r="FD142" s="65"/>
      <c r="FE142" s="65"/>
      <c r="FF142" s="65"/>
      <c r="FG142" s="65"/>
      <c r="FH142" s="65"/>
      <c r="FI142" s="65"/>
      <c r="FJ142" s="65"/>
      <c r="FK142" s="65"/>
      <c r="FL142" s="65"/>
      <c r="FM142" s="65"/>
      <c r="FN142" s="65"/>
      <c r="FO142" s="65"/>
      <c r="FP142" s="65"/>
      <c r="FQ142" s="65"/>
      <c r="FR142" s="65"/>
      <c r="FS142" s="65"/>
      <c r="FT142" s="65"/>
      <c r="FU142" s="65"/>
    </row>
    <row r="143" spans="1:177" s="1" customFormat="1" ht="17.45" hidden="1" customHeight="1">
      <c r="A143" s="16"/>
      <c r="B143" s="17" t="s">
        <v>7</v>
      </c>
      <c r="C143" s="18" t="s">
        <v>9</v>
      </c>
      <c r="D143" s="18" t="e">
        <f>IF(#REF!&gt;0,"REALIZADO","PROJETADO")</f>
        <v>#REF!</v>
      </c>
      <c r="E143" s="18" t="e">
        <f>IF(#REF!&gt;0,"REALIZADO","PROJETADO")</f>
        <v>#REF!</v>
      </c>
      <c r="F143" s="18" t="e">
        <f>IF(#REF!&gt;0,"REALIZADO","PROJETADO")</f>
        <v>#REF!</v>
      </c>
      <c r="G143" s="18" t="s">
        <v>12</v>
      </c>
      <c r="H143" s="18"/>
      <c r="I143" s="18" t="s">
        <v>12</v>
      </c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  <c r="BC143" s="65"/>
      <c r="BD143" s="65"/>
      <c r="BE143" s="65"/>
      <c r="BF143" s="65"/>
      <c r="BG143" s="65"/>
      <c r="BH143" s="65"/>
      <c r="BI143" s="65"/>
      <c r="BJ143" s="65"/>
      <c r="BK143" s="65"/>
      <c r="BL143" s="65"/>
      <c r="BM143" s="65"/>
      <c r="BN143" s="65"/>
      <c r="BO143" s="65"/>
      <c r="BP143" s="65"/>
      <c r="BQ143" s="65"/>
      <c r="BR143" s="65"/>
      <c r="BS143" s="65"/>
      <c r="BT143" s="65"/>
      <c r="BU143" s="65"/>
      <c r="BV143" s="65"/>
      <c r="BW143" s="65"/>
      <c r="BX143" s="65"/>
      <c r="BY143" s="65"/>
      <c r="BZ143" s="65"/>
      <c r="CA143" s="65"/>
      <c r="CB143" s="65"/>
      <c r="CC143" s="65"/>
      <c r="CD143" s="65"/>
      <c r="CE143" s="65"/>
      <c r="CF143" s="65"/>
      <c r="CG143" s="65"/>
      <c r="CH143" s="65"/>
      <c r="CI143" s="65"/>
      <c r="CJ143" s="65"/>
      <c r="CK143" s="65"/>
      <c r="CL143" s="65"/>
      <c r="CM143" s="65"/>
      <c r="CN143" s="65"/>
      <c r="CO143" s="65"/>
      <c r="CP143" s="65"/>
      <c r="CQ143" s="65"/>
      <c r="CR143" s="65"/>
      <c r="CS143" s="65"/>
      <c r="CT143" s="65"/>
      <c r="CU143" s="65"/>
      <c r="CV143" s="65"/>
      <c r="CW143" s="65"/>
      <c r="CX143" s="65"/>
      <c r="CY143" s="65"/>
      <c r="CZ143" s="65"/>
      <c r="DA143" s="65"/>
      <c r="DB143" s="65"/>
      <c r="DC143" s="65"/>
      <c r="DD143" s="65"/>
      <c r="DE143" s="65"/>
      <c r="DF143" s="65"/>
      <c r="DG143" s="65"/>
      <c r="DH143" s="65"/>
      <c r="DI143" s="65"/>
      <c r="DJ143" s="65"/>
      <c r="DK143" s="65"/>
      <c r="DL143" s="65"/>
      <c r="DM143" s="65"/>
      <c r="DN143" s="65"/>
      <c r="DO143" s="65"/>
      <c r="DP143" s="65"/>
      <c r="DQ143" s="65"/>
      <c r="DR143" s="65"/>
      <c r="DS143" s="65"/>
      <c r="DT143" s="65"/>
      <c r="DU143" s="65"/>
      <c r="DV143" s="65"/>
      <c r="DW143" s="65"/>
      <c r="DX143" s="65"/>
      <c r="DY143" s="65"/>
      <c r="DZ143" s="65"/>
      <c r="EA143" s="65"/>
      <c r="EB143" s="65"/>
      <c r="EC143" s="65"/>
      <c r="ED143" s="65"/>
      <c r="EE143" s="65"/>
      <c r="EF143" s="65"/>
      <c r="EG143" s="65"/>
      <c r="EH143" s="65"/>
      <c r="EI143" s="65"/>
      <c r="EJ143" s="65"/>
      <c r="EK143" s="65"/>
      <c r="EL143" s="65"/>
      <c r="EM143" s="65"/>
      <c r="EN143" s="65"/>
      <c r="EO143" s="65"/>
      <c r="EP143" s="65"/>
      <c r="EQ143" s="65"/>
      <c r="ER143" s="65"/>
      <c r="ES143" s="65"/>
      <c r="ET143" s="65"/>
      <c r="EU143" s="65"/>
      <c r="EV143" s="65"/>
      <c r="EW143" s="65"/>
      <c r="EX143" s="65"/>
      <c r="EY143" s="65"/>
      <c r="EZ143" s="65"/>
      <c r="FA143" s="65"/>
      <c r="FB143" s="65"/>
      <c r="FC143" s="65"/>
      <c r="FD143" s="65"/>
      <c r="FE143" s="65"/>
      <c r="FF143" s="65"/>
      <c r="FG143" s="65"/>
      <c r="FH143" s="65"/>
      <c r="FI143" s="65"/>
      <c r="FJ143" s="65"/>
      <c r="FK143" s="65"/>
      <c r="FL143" s="65"/>
      <c r="FM143" s="65"/>
      <c r="FN143" s="65"/>
      <c r="FO143" s="65"/>
      <c r="FP143" s="65"/>
      <c r="FQ143" s="65"/>
      <c r="FR143" s="65"/>
      <c r="FS143" s="65"/>
      <c r="FT143" s="65"/>
      <c r="FU143" s="65"/>
    </row>
    <row r="144" spans="1:177" s="1" customFormat="1" ht="17.25" hidden="1" customHeight="1">
      <c r="A144" s="16"/>
      <c r="B144" s="62" t="s">
        <v>6</v>
      </c>
      <c r="C144" s="63">
        <v>1999</v>
      </c>
      <c r="D144" s="63">
        <v>2000</v>
      </c>
      <c r="E144" s="63">
        <v>2001</v>
      </c>
      <c r="F144" s="63">
        <v>2002</v>
      </c>
      <c r="G144" s="63">
        <v>2003</v>
      </c>
      <c r="H144" s="63"/>
      <c r="I144" s="63">
        <v>2004</v>
      </c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  <c r="BB144" s="65"/>
      <c r="BC144" s="65"/>
      <c r="BD144" s="65"/>
      <c r="BE144" s="65"/>
      <c r="BF144" s="65"/>
      <c r="BG144" s="65"/>
      <c r="BH144" s="65"/>
      <c r="BI144" s="65"/>
      <c r="BJ144" s="65"/>
      <c r="BK144" s="65"/>
      <c r="BL144" s="65"/>
      <c r="BM144" s="65"/>
      <c r="BN144" s="65"/>
      <c r="BO144" s="65"/>
      <c r="BP144" s="65"/>
      <c r="BQ144" s="65"/>
      <c r="BR144" s="65"/>
      <c r="BS144" s="65"/>
      <c r="BT144" s="65"/>
      <c r="BU144" s="65"/>
      <c r="BV144" s="65"/>
      <c r="BW144" s="65"/>
      <c r="BX144" s="65"/>
      <c r="BY144" s="65"/>
      <c r="BZ144" s="65"/>
      <c r="CA144" s="65"/>
      <c r="CB144" s="65"/>
      <c r="CC144" s="65"/>
      <c r="CD144" s="65"/>
      <c r="CE144" s="65"/>
      <c r="CF144" s="65"/>
      <c r="CG144" s="65"/>
      <c r="CH144" s="65"/>
      <c r="CI144" s="65"/>
      <c r="CJ144" s="65"/>
      <c r="CK144" s="65"/>
      <c r="CL144" s="65"/>
      <c r="CM144" s="65"/>
      <c r="CN144" s="65"/>
      <c r="CO144" s="65"/>
      <c r="CP144" s="65"/>
      <c r="CQ144" s="65"/>
      <c r="CR144" s="65"/>
      <c r="CS144" s="65"/>
      <c r="CT144" s="65"/>
      <c r="CU144" s="65"/>
      <c r="CV144" s="65"/>
      <c r="CW144" s="65"/>
      <c r="CX144" s="65"/>
      <c r="CY144" s="65"/>
      <c r="CZ144" s="65"/>
      <c r="DA144" s="65"/>
      <c r="DB144" s="65"/>
      <c r="DC144" s="65"/>
      <c r="DD144" s="65"/>
      <c r="DE144" s="65"/>
      <c r="DF144" s="65"/>
      <c r="DG144" s="65"/>
      <c r="DH144" s="65"/>
      <c r="DI144" s="65"/>
      <c r="DJ144" s="65"/>
      <c r="DK144" s="65"/>
      <c r="DL144" s="65"/>
      <c r="DM144" s="65"/>
      <c r="DN144" s="65"/>
      <c r="DO144" s="65"/>
      <c r="DP144" s="65"/>
      <c r="DQ144" s="65"/>
      <c r="DR144" s="65"/>
      <c r="DS144" s="65"/>
      <c r="DT144" s="65"/>
      <c r="DU144" s="65"/>
      <c r="DV144" s="65"/>
      <c r="DW144" s="65"/>
      <c r="DX144" s="65"/>
      <c r="DY144" s="65"/>
      <c r="DZ144" s="65"/>
      <c r="EA144" s="65"/>
      <c r="EB144" s="65"/>
      <c r="EC144" s="65"/>
      <c r="ED144" s="65"/>
      <c r="EE144" s="65"/>
      <c r="EF144" s="65"/>
      <c r="EG144" s="65"/>
      <c r="EH144" s="65"/>
      <c r="EI144" s="65"/>
      <c r="EJ144" s="65"/>
      <c r="EK144" s="65"/>
      <c r="EL144" s="65"/>
      <c r="EM144" s="65"/>
      <c r="EN144" s="65"/>
      <c r="EO144" s="65"/>
      <c r="EP144" s="65"/>
      <c r="EQ144" s="65"/>
      <c r="ER144" s="65"/>
      <c r="ES144" s="65"/>
      <c r="ET144" s="65"/>
      <c r="EU144" s="65"/>
      <c r="EV144" s="65"/>
      <c r="EW144" s="65"/>
      <c r="EX144" s="65"/>
      <c r="EY144" s="65"/>
      <c r="EZ144" s="65"/>
      <c r="FA144" s="65"/>
      <c r="FB144" s="65"/>
      <c r="FC144" s="65"/>
      <c r="FD144" s="65"/>
      <c r="FE144" s="65"/>
      <c r="FF144" s="65"/>
      <c r="FG144" s="65"/>
      <c r="FH144" s="65"/>
      <c r="FI144" s="65"/>
      <c r="FJ144" s="65"/>
      <c r="FK144" s="65"/>
      <c r="FL144" s="65"/>
      <c r="FM144" s="65"/>
      <c r="FN144" s="65"/>
      <c r="FO144" s="65"/>
      <c r="FP144" s="65"/>
      <c r="FQ144" s="65"/>
      <c r="FR144" s="65"/>
      <c r="FS144" s="65"/>
      <c r="FT144" s="65"/>
      <c r="FU144" s="65"/>
    </row>
    <row r="145" spans="1:177" s="1" customFormat="1" ht="17.45" hidden="1" customHeight="1">
      <c r="A145" s="16"/>
      <c r="B145" s="19"/>
      <c r="C145" s="20"/>
      <c r="D145" s="20"/>
      <c r="E145" s="20"/>
      <c r="F145" s="20"/>
      <c r="G145" s="20"/>
      <c r="H145" s="20"/>
      <c r="I145" s="20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5"/>
      <c r="BC145" s="65"/>
      <c r="BD145" s="65"/>
      <c r="BE145" s="65"/>
      <c r="BF145" s="65"/>
      <c r="BG145" s="65"/>
      <c r="BH145" s="65"/>
      <c r="BI145" s="65"/>
      <c r="BJ145" s="65"/>
      <c r="BK145" s="65"/>
      <c r="BL145" s="65"/>
      <c r="BM145" s="65"/>
      <c r="BN145" s="65"/>
      <c r="BO145" s="65"/>
      <c r="BP145" s="65"/>
      <c r="BQ145" s="65"/>
      <c r="BR145" s="65"/>
      <c r="BS145" s="65"/>
      <c r="BT145" s="65"/>
      <c r="BU145" s="65"/>
      <c r="BV145" s="65"/>
      <c r="BW145" s="65"/>
      <c r="BX145" s="65"/>
      <c r="BY145" s="65"/>
      <c r="BZ145" s="65"/>
      <c r="CA145" s="65"/>
      <c r="CB145" s="65"/>
      <c r="CC145" s="65"/>
      <c r="CD145" s="65"/>
      <c r="CE145" s="65"/>
      <c r="CF145" s="65"/>
      <c r="CG145" s="65"/>
      <c r="CH145" s="65"/>
      <c r="CI145" s="65"/>
      <c r="CJ145" s="65"/>
      <c r="CK145" s="65"/>
      <c r="CL145" s="65"/>
      <c r="CM145" s="65"/>
      <c r="CN145" s="65"/>
      <c r="CO145" s="65"/>
      <c r="CP145" s="65"/>
      <c r="CQ145" s="65"/>
      <c r="CR145" s="65"/>
      <c r="CS145" s="65"/>
      <c r="CT145" s="65"/>
      <c r="CU145" s="65"/>
      <c r="CV145" s="65"/>
      <c r="CW145" s="65"/>
      <c r="CX145" s="65"/>
      <c r="CY145" s="65"/>
      <c r="CZ145" s="65"/>
      <c r="DA145" s="65"/>
      <c r="DB145" s="65"/>
      <c r="DC145" s="65"/>
      <c r="DD145" s="65"/>
      <c r="DE145" s="65"/>
      <c r="DF145" s="65"/>
      <c r="DG145" s="65"/>
      <c r="DH145" s="65"/>
      <c r="DI145" s="65"/>
      <c r="DJ145" s="65"/>
      <c r="DK145" s="65"/>
      <c r="DL145" s="65"/>
      <c r="DM145" s="65"/>
      <c r="DN145" s="65"/>
      <c r="DO145" s="65"/>
      <c r="DP145" s="65"/>
      <c r="DQ145" s="65"/>
      <c r="DR145" s="65"/>
      <c r="DS145" s="65"/>
      <c r="DT145" s="65"/>
      <c r="DU145" s="65"/>
      <c r="DV145" s="65"/>
      <c r="DW145" s="65"/>
      <c r="DX145" s="65"/>
      <c r="DY145" s="65"/>
      <c r="DZ145" s="65"/>
      <c r="EA145" s="65"/>
      <c r="EB145" s="65"/>
      <c r="EC145" s="65"/>
      <c r="ED145" s="65"/>
      <c r="EE145" s="65"/>
      <c r="EF145" s="65"/>
      <c r="EG145" s="65"/>
      <c r="EH145" s="65"/>
      <c r="EI145" s="65"/>
      <c r="EJ145" s="65"/>
      <c r="EK145" s="65"/>
      <c r="EL145" s="65"/>
      <c r="EM145" s="65"/>
      <c r="EN145" s="65"/>
      <c r="EO145" s="65"/>
      <c r="EP145" s="65"/>
      <c r="EQ145" s="65"/>
      <c r="ER145" s="65"/>
      <c r="ES145" s="65"/>
      <c r="ET145" s="65"/>
      <c r="EU145" s="65"/>
      <c r="EV145" s="65"/>
      <c r="EW145" s="65"/>
      <c r="EX145" s="65"/>
      <c r="EY145" s="65"/>
      <c r="EZ145" s="65"/>
      <c r="FA145" s="65"/>
      <c r="FB145" s="65"/>
      <c r="FC145" s="65"/>
      <c r="FD145" s="65"/>
      <c r="FE145" s="65"/>
      <c r="FF145" s="65"/>
      <c r="FG145" s="65"/>
      <c r="FH145" s="65"/>
      <c r="FI145" s="65"/>
      <c r="FJ145" s="65"/>
      <c r="FK145" s="65"/>
      <c r="FL145" s="65"/>
      <c r="FM145" s="65"/>
      <c r="FN145" s="65"/>
      <c r="FO145" s="65"/>
      <c r="FP145" s="65"/>
      <c r="FQ145" s="65"/>
      <c r="FR145" s="65"/>
      <c r="FS145" s="65"/>
      <c r="FT145" s="65"/>
      <c r="FU145" s="65"/>
    </row>
    <row r="146" spans="1:177" s="1" customFormat="1" ht="16.5" hidden="1" thickBot="1">
      <c r="A146" s="16"/>
      <c r="B146" s="19" t="s">
        <v>14</v>
      </c>
      <c r="C146" s="21" t="e">
        <f>C8-#REF!-C14+C150-#REF!</f>
        <v>#REF!</v>
      </c>
      <c r="D146" s="21" t="e">
        <f>D8-#REF!-D14+D150-#REF!</f>
        <v>#REF!</v>
      </c>
      <c r="E146" s="21" t="e">
        <f>E8-#REF!-E14+E150-#REF!</f>
        <v>#REF!</v>
      </c>
      <c r="F146" s="21" t="e">
        <f>F8-#REF!-F14+F150-#REF!</f>
        <v>#REF!</v>
      </c>
      <c r="G146" s="21" t="e">
        <f>G8-#REF!-G14+G150-#REF!</f>
        <v>#REF!</v>
      </c>
      <c r="H146" s="21"/>
      <c r="I146" s="21" t="e">
        <f>I8-#REF!-I14+I150-#REF!</f>
        <v>#REF!</v>
      </c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5"/>
      <c r="BA146" s="65"/>
      <c r="BB146" s="65"/>
      <c r="BC146" s="65"/>
      <c r="BD146" s="65"/>
      <c r="BE146" s="65"/>
      <c r="BF146" s="65"/>
      <c r="BG146" s="65"/>
      <c r="BH146" s="65"/>
      <c r="BI146" s="65"/>
      <c r="BJ146" s="65"/>
      <c r="BK146" s="65"/>
      <c r="BL146" s="65"/>
      <c r="BM146" s="65"/>
      <c r="BN146" s="65"/>
      <c r="BO146" s="65"/>
      <c r="BP146" s="65"/>
      <c r="BQ146" s="65"/>
      <c r="BR146" s="65"/>
      <c r="BS146" s="65"/>
      <c r="BT146" s="65"/>
      <c r="BU146" s="65"/>
      <c r="BV146" s="65"/>
      <c r="BW146" s="65"/>
      <c r="BX146" s="65"/>
      <c r="BY146" s="65"/>
      <c r="BZ146" s="65"/>
      <c r="CA146" s="65"/>
      <c r="CB146" s="65"/>
      <c r="CC146" s="65"/>
      <c r="CD146" s="65"/>
      <c r="CE146" s="65"/>
      <c r="CF146" s="65"/>
      <c r="CG146" s="65"/>
      <c r="CH146" s="65"/>
      <c r="CI146" s="65"/>
      <c r="CJ146" s="65"/>
      <c r="CK146" s="65"/>
      <c r="CL146" s="65"/>
      <c r="CM146" s="65"/>
      <c r="CN146" s="65"/>
      <c r="CO146" s="65"/>
      <c r="CP146" s="65"/>
      <c r="CQ146" s="65"/>
      <c r="CR146" s="65"/>
      <c r="CS146" s="65"/>
      <c r="CT146" s="65"/>
      <c r="CU146" s="65"/>
      <c r="CV146" s="65"/>
      <c r="CW146" s="65"/>
      <c r="CX146" s="65"/>
      <c r="CY146" s="65"/>
      <c r="CZ146" s="65"/>
      <c r="DA146" s="65"/>
      <c r="DB146" s="65"/>
      <c r="DC146" s="65"/>
      <c r="DD146" s="65"/>
      <c r="DE146" s="65"/>
      <c r="DF146" s="65"/>
      <c r="DG146" s="65"/>
      <c r="DH146" s="65"/>
      <c r="DI146" s="65"/>
      <c r="DJ146" s="65"/>
      <c r="DK146" s="65"/>
      <c r="DL146" s="65"/>
      <c r="DM146" s="65"/>
      <c r="DN146" s="65"/>
      <c r="DO146" s="65"/>
      <c r="DP146" s="65"/>
      <c r="DQ146" s="65"/>
      <c r="DR146" s="65"/>
      <c r="DS146" s="65"/>
      <c r="DT146" s="65"/>
      <c r="DU146" s="65"/>
      <c r="DV146" s="65"/>
      <c r="DW146" s="65"/>
      <c r="DX146" s="65"/>
      <c r="DY146" s="65"/>
      <c r="DZ146" s="65"/>
      <c r="EA146" s="65"/>
      <c r="EB146" s="65"/>
      <c r="EC146" s="65"/>
      <c r="ED146" s="65"/>
      <c r="EE146" s="65"/>
      <c r="EF146" s="65"/>
      <c r="EG146" s="65"/>
      <c r="EH146" s="65"/>
      <c r="EI146" s="65"/>
      <c r="EJ146" s="65"/>
      <c r="EK146" s="65"/>
      <c r="EL146" s="65"/>
      <c r="EM146" s="65"/>
      <c r="EN146" s="65"/>
      <c r="EO146" s="65"/>
      <c r="EP146" s="65"/>
      <c r="EQ146" s="65"/>
      <c r="ER146" s="65"/>
      <c r="ES146" s="65"/>
      <c r="ET146" s="65"/>
      <c r="EU146" s="65"/>
      <c r="EV146" s="65"/>
      <c r="EW146" s="65"/>
      <c r="EX146" s="65"/>
      <c r="EY146" s="65"/>
      <c r="EZ146" s="65"/>
      <c r="FA146" s="65"/>
      <c r="FB146" s="65"/>
      <c r="FC146" s="65"/>
      <c r="FD146" s="65"/>
      <c r="FE146" s="65"/>
      <c r="FF146" s="65"/>
      <c r="FG146" s="65"/>
      <c r="FH146" s="65"/>
      <c r="FI146" s="65"/>
      <c r="FJ146" s="65"/>
      <c r="FK146" s="65"/>
      <c r="FL146" s="65"/>
      <c r="FM146" s="65"/>
      <c r="FN146" s="65"/>
      <c r="FO146" s="65"/>
      <c r="FP146" s="65"/>
      <c r="FQ146" s="65"/>
      <c r="FR146" s="65"/>
      <c r="FS146" s="65"/>
      <c r="FT146" s="65"/>
      <c r="FU146" s="65"/>
    </row>
    <row r="147" spans="1:177" s="1" customFormat="1" ht="16.5" hidden="1" thickBot="1">
      <c r="A147" s="16"/>
      <c r="B147" s="19" t="s">
        <v>15</v>
      </c>
      <c r="C147" s="21">
        <f>C9</f>
        <v>9618482.1699999981</v>
      </c>
      <c r="D147" s="21">
        <f>D9</f>
        <v>10129979.310000001</v>
      </c>
      <c r="E147" s="21">
        <f>E9</f>
        <v>10559311.320000002</v>
      </c>
      <c r="F147" s="21">
        <f>F9</f>
        <v>14368650</v>
      </c>
      <c r="G147" s="21">
        <f>G9</f>
        <v>13472687.84307358</v>
      </c>
      <c r="H147" s="21"/>
      <c r="I147" s="21">
        <f>I9</f>
        <v>15488645.408973452</v>
      </c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  <c r="BC147" s="65"/>
      <c r="BD147" s="65"/>
      <c r="BE147" s="65"/>
      <c r="BF147" s="65"/>
      <c r="BG147" s="65"/>
      <c r="BH147" s="65"/>
      <c r="BI147" s="65"/>
      <c r="BJ147" s="65"/>
      <c r="BK147" s="65"/>
      <c r="BL147" s="65"/>
      <c r="BM147" s="65"/>
      <c r="BN147" s="65"/>
      <c r="BO147" s="65"/>
      <c r="BP147" s="65"/>
      <c r="BQ147" s="65"/>
      <c r="BR147" s="65"/>
      <c r="BS147" s="65"/>
      <c r="BT147" s="65"/>
      <c r="BU147" s="65"/>
      <c r="BV147" s="65"/>
      <c r="BW147" s="65"/>
      <c r="BX147" s="65"/>
      <c r="BY147" s="65"/>
      <c r="BZ147" s="65"/>
      <c r="CA147" s="65"/>
      <c r="CB147" s="65"/>
      <c r="CC147" s="65"/>
      <c r="CD147" s="65"/>
      <c r="CE147" s="65"/>
      <c r="CF147" s="65"/>
      <c r="CG147" s="65"/>
      <c r="CH147" s="65"/>
      <c r="CI147" s="65"/>
      <c r="CJ147" s="65"/>
      <c r="CK147" s="65"/>
      <c r="CL147" s="65"/>
      <c r="CM147" s="65"/>
      <c r="CN147" s="65"/>
      <c r="CO147" s="65"/>
      <c r="CP147" s="65"/>
      <c r="CQ147" s="65"/>
      <c r="CR147" s="65"/>
      <c r="CS147" s="65"/>
      <c r="CT147" s="65"/>
      <c r="CU147" s="65"/>
      <c r="CV147" s="65"/>
      <c r="CW147" s="65"/>
      <c r="CX147" s="65"/>
      <c r="CY147" s="65"/>
      <c r="CZ147" s="65"/>
      <c r="DA147" s="65"/>
      <c r="DB147" s="65"/>
      <c r="DC147" s="65"/>
      <c r="DD147" s="65"/>
      <c r="DE147" s="65"/>
      <c r="DF147" s="65"/>
      <c r="DG147" s="65"/>
      <c r="DH147" s="65"/>
      <c r="DI147" s="65"/>
      <c r="DJ147" s="65"/>
      <c r="DK147" s="65"/>
      <c r="DL147" s="65"/>
      <c r="DM147" s="65"/>
      <c r="DN147" s="65"/>
      <c r="DO147" s="65"/>
      <c r="DP147" s="65"/>
      <c r="DQ147" s="65"/>
      <c r="DR147" s="65"/>
      <c r="DS147" s="65"/>
      <c r="DT147" s="65"/>
      <c r="DU147" s="65"/>
      <c r="DV147" s="65"/>
      <c r="DW147" s="65"/>
      <c r="DX147" s="65"/>
      <c r="DY147" s="65"/>
      <c r="DZ147" s="65"/>
      <c r="EA147" s="65"/>
      <c r="EB147" s="65"/>
      <c r="EC147" s="65"/>
      <c r="ED147" s="65"/>
      <c r="EE147" s="65"/>
      <c r="EF147" s="65"/>
      <c r="EG147" s="65"/>
      <c r="EH147" s="65"/>
      <c r="EI147" s="65"/>
      <c r="EJ147" s="65"/>
      <c r="EK147" s="65"/>
      <c r="EL147" s="65"/>
      <c r="EM147" s="65"/>
      <c r="EN147" s="65"/>
      <c r="EO147" s="65"/>
      <c r="EP147" s="65"/>
      <c r="EQ147" s="65"/>
      <c r="ER147" s="65"/>
      <c r="ES147" s="65"/>
      <c r="ET147" s="65"/>
      <c r="EU147" s="65"/>
      <c r="EV147" s="65"/>
      <c r="EW147" s="65"/>
      <c r="EX147" s="65"/>
      <c r="EY147" s="65"/>
      <c r="EZ147" s="65"/>
      <c r="FA147" s="65"/>
      <c r="FB147" s="65"/>
      <c r="FC147" s="65"/>
      <c r="FD147" s="65"/>
      <c r="FE147" s="65"/>
      <c r="FF147" s="65"/>
      <c r="FG147" s="65"/>
      <c r="FH147" s="65"/>
      <c r="FI147" s="65"/>
      <c r="FJ147" s="65"/>
      <c r="FK147" s="65"/>
      <c r="FL147" s="65"/>
      <c r="FM147" s="65"/>
      <c r="FN147" s="65"/>
      <c r="FO147" s="65"/>
      <c r="FP147" s="65"/>
      <c r="FQ147" s="65"/>
      <c r="FR147" s="65"/>
      <c r="FS147" s="65"/>
      <c r="FT147" s="65"/>
      <c r="FU147" s="65"/>
    </row>
    <row r="148" spans="1:177" s="1" customFormat="1" ht="16.5" hidden="1" thickBot="1">
      <c r="A148" s="16"/>
      <c r="B148" s="19" t="s">
        <v>16</v>
      </c>
      <c r="C148" s="21" t="e">
        <f>C19+C20+C21+#REF!+#REF!+#REF!+#REF!</f>
        <v>#REF!</v>
      </c>
      <c r="D148" s="21" t="e">
        <f>D19+D20+D21+#REF!+#REF!+#REF!+#REF!</f>
        <v>#REF!</v>
      </c>
      <c r="E148" s="21" t="e">
        <f>E19+E20+E21+#REF!+#REF!+#REF!+#REF!</f>
        <v>#REF!</v>
      </c>
      <c r="F148" s="21" t="e">
        <f>F19+F20+F21+#REF!+#REF!+#REF!+#REF!</f>
        <v>#REF!</v>
      </c>
      <c r="G148" s="21" t="e">
        <f>G19+G20+G21+#REF!+#REF!+#REF!+#REF!</f>
        <v>#REF!</v>
      </c>
      <c r="H148" s="21"/>
      <c r="I148" s="21" t="e">
        <f>I19+I20+I21+#REF!+#REF!+#REF!+#REF!</f>
        <v>#REF!</v>
      </c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  <c r="BA148" s="65"/>
      <c r="BB148" s="65"/>
      <c r="BC148" s="65"/>
      <c r="BD148" s="65"/>
      <c r="BE148" s="65"/>
      <c r="BF148" s="65"/>
      <c r="BG148" s="65"/>
      <c r="BH148" s="65"/>
      <c r="BI148" s="65"/>
      <c r="BJ148" s="65"/>
      <c r="BK148" s="65"/>
      <c r="BL148" s="65"/>
      <c r="BM148" s="65"/>
      <c r="BN148" s="65"/>
      <c r="BO148" s="65"/>
      <c r="BP148" s="65"/>
      <c r="BQ148" s="65"/>
      <c r="BR148" s="65"/>
      <c r="BS148" s="65"/>
      <c r="BT148" s="65"/>
      <c r="BU148" s="65"/>
      <c r="BV148" s="65"/>
      <c r="BW148" s="65"/>
      <c r="BX148" s="65"/>
      <c r="BY148" s="65"/>
      <c r="BZ148" s="65"/>
      <c r="CA148" s="65"/>
      <c r="CB148" s="65"/>
      <c r="CC148" s="65"/>
      <c r="CD148" s="65"/>
      <c r="CE148" s="65"/>
      <c r="CF148" s="65"/>
      <c r="CG148" s="65"/>
      <c r="CH148" s="65"/>
      <c r="CI148" s="65"/>
      <c r="CJ148" s="65"/>
      <c r="CK148" s="65"/>
      <c r="CL148" s="65"/>
      <c r="CM148" s="65"/>
      <c r="CN148" s="65"/>
      <c r="CO148" s="65"/>
      <c r="CP148" s="65"/>
      <c r="CQ148" s="65"/>
      <c r="CR148" s="65"/>
      <c r="CS148" s="65"/>
      <c r="CT148" s="65"/>
      <c r="CU148" s="65"/>
      <c r="CV148" s="65"/>
      <c r="CW148" s="65"/>
      <c r="CX148" s="65"/>
      <c r="CY148" s="65"/>
      <c r="CZ148" s="65"/>
      <c r="DA148" s="65"/>
      <c r="DB148" s="65"/>
      <c r="DC148" s="65"/>
      <c r="DD148" s="65"/>
      <c r="DE148" s="65"/>
      <c r="DF148" s="65"/>
      <c r="DG148" s="65"/>
      <c r="DH148" s="65"/>
      <c r="DI148" s="65"/>
      <c r="DJ148" s="65"/>
      <c r="DK148" s="65"/>
      <c r="DL148" s="65"/>
      <c r="DM148" s="65"/>
      <c r="DN148" s="65"/>
      <c r="DO148" s="65"/>
      <c r="DP148" s="65"/>
      <c r="DQ148" s="65"/>
      <c r="DR148" s="65"/>
      <c r="DS148" s="65"/>
      <c r="DT148" s="65"/>
      <c r="DU148" s="65"/>
      <c r="DV148" s="65"/>
      <c r="DW148" s="65"/>
      <c r="DX148" s="65"/>
      <c r="DY148" s="65"/>
      <c r="DZ148" s="65"/>
      <c r="EA148" s="65"/>
      <c r="EB148" s="65"/>
      <c r="EC148" s="65"/>
      <c r="ED148" s="65"/>
      <c r="EE148" s="65"/>
      <c r="EF148" s="65"/>
      <c r="EG148" s="65"/>
      <c r="EH148" s="65"/>
      <c r="EI148" s="65"/>
      <c r="EJ148" s="65"/>
      <c r="EK148" s="65"/>
      <c r="EL148" s="65"/>
      <c r="EM148" s="65"/>
      <c r="EN148" s="65"/>
      <c r="EO148" s="65"/>
      <c r="EP148" s="65"/>
      <c r="EQ148" s="65"/>
      <c r="ER148" s="65"/>
      <c r="ES148" s="65"/>
      <c r="ET148" s="65"/>
      <c r="EU148" s="65"/>
      <c r="EV148" s="65"/>
      <c r="EW148" s="65"/>
      <c r="EX148" s="65"/>
      <c r="EY148" s="65"/>
      <c r="EZ148" s="65"/>
      <c r="FA148" s="65"/>
      <c r="FB148" s="65"/>
      <c r="FC148" s="65"/>
      <c r="FD148" s="65"/>
      <c r="FE148" s="65"/>
      <c r="FF148" s="65"/>
      <c r="FG148" s="65"/>
      <c r="FH148" s="65"/>
      <c r="FI148" s="65"/>
      <c r="FJ148" s="65"/>
      <c r="FK148" s="65"/>
      <c r="FL148" s="65"/>
      <c r="FM148" s="65"/>
      <c r="FN148" s="65"/>
      <c r="FO148" s="65"/>
      <c r="FP148" s="65"/>
      <c r="FQ148" s="65"/>
      <c r="FR148" s="65"/>
      <c r="FS148" s="65"/>
      <c r="FT148" s="65"/>
      <c r="FU148" s="65"/>
    </row>
    <row r="149" spans="1:177" s="1" customFormat="1" ht="16.5" hidden="1" thickBot="1">
      <c r="A149" s="16"/>
      <c r="B149" s="19" t="s">
        <v>17</v>
      </c>
      <c r="C149" s="21" t="e">
        <f>#REF!</f>
        <v>#REF!</v>
      </c>
      <c r="D149" s="21" t="e">
        <f>#REF!</f>
        <v>#REF!</v>
      </c>
      <c r="E149" s="21" t="e">
        <f>#REF!</f>
        <v>#REF!</v>
      </c>
      <c r="F149" s="21" t="e">
        <f>#REF!</f>
        <v>#REF!</v>
      </c>
      <c r="G149" s="21" t="e">
        <f>#REF!</f>
        <v>#REF!</v>
      </c>
      <c r="H149" s="21"/>
      <c r="I149" s="21" t="e">
        <f>#REF!</f>
        <v>#REF!</v>
      </c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65"/>
      <c r="BF149" s="65"/>
      <c r="BG149" s="65"/>
      <c r="BH149" s="65"/>
      <c r="BI149" s="65"/>
      <c r="BJ149" s="65"/>
      <c r="BK149" s="65"/>
      <c r="BL149" s="65"/>
      <c r="BM149" s="65"/>
      <c r="BN149" s="65"/>
      <c r="BO149" s="65"/>
      <c r="BP149" s="65"/>
      <c r="BQ149" s="65"/>
      <c r="BR149" s="65"/>
      <c r="BS149" s="65"/>
      <c r="BT149" s="65"/>
      <c r="BU149" s="65"/>
      <c r="BV149" s="65"/>
      <c r="BW149" s="65"/>
      <c r="BX149" s="65"/>
      <c r="BY149" s="65"/>
      <c r="BZ149" s="65"/>
      <c r="CA149" s="65"/>
      <c r="CB149" s="65"/>
      <c r="CC149" s="65"/>
      <c r="CD149" s="65"/>
      <c r="CE149" s="65"/>
      <c r="CF149" s="65"/>
      <c r="CG149" s="65"/>
      <c r="CH149" s="65"/>
      <c r="CI149" s="65"/>
      <c r="CJ149" s="65"/>
      <c r="CK149" s="65"/>
      <c r="CL149" s="65"/>
      <c r="CM149" s="65"/>
      <c r="CN149" s="65"/>
      <c r="CO149" s="65"/>
      <c r="CP149" s="65"/>
      <c r="CQ149" s="65"/>
      <c r="CR149" s="65"/>
      <c r="CS149" s="65"/>
      <c r="CT149" s="65"/>
      <c r="CU149" s="65"/>
      <c r="CV149" s="65"/>
      <c r="CW149" s="65"/>
      <c r="CX149" s="65"/>
      <c r="CY149" s="65"/>
      <c r="CZ149" s="65"/>
      <c r="DA149" s="65"/>
      <c r="DB149" s="65"/>
      <c r="DC149" s="65"/>
      <c r="DD149" s="65"/>
      <c r="DE149" s="65"/>
      <c r="DF149" s="65"/>
      <c r="DG149" s="65"/>
      <c r="DH149" s="65"/>
      <c r="DI149" s="65"/>
      <c r="DJ149" s="65"/>
      <c r="DK149" s="65"/>
      <c r="DL149" s="65"/>
      <c r="DM149" s="65"/>
      <c r="DN149" s="65"/>
      <c r="DO149" s="65"/>
      <c r="DP149" s="65"/>
      <c r="DQ149" s="65"/>
      <c r="DR149" s="65"/>
      <c r="DS149" s="65"/>
      <c r="DT149" s="65"/>
      <c r="DU149" s="65"/>
      <c r="DV149" s="65"/>
      <c r="DW149" s="65"/>
      <c r="DX149" s="65"/>
      <c r="DY149" s="65"/>
      <c r="DZ149" s="65"/>
      <c r="EA149" s="65"/>
      <c r="EB149" s="65"/>
      <c r="EC149" s="65"/>
      <c r="ED149" s="65"/>
      <c r="EE149" s="65"/>
      <c r="EF149" s="65"/>
      <c r="EG149" s="65"/>
      <c r="EH149" s="65"/>
      <c r="EI149" s="65"/>
      <c r="EJ149" s="65"/>
      <c r="EK149" s="65"/>
      <c r="EL149" s="65"/>
      <c r="EM149" s="65"/>
      <c r="EN149" s="65"/>
      <c r="EO149" s="65"/>
      <c r="EP149" s="65"/>
      <c r="EQ149" s="65"/>
      <c r="ER149" s="65"/>
      <c r="ES149" s="65"/>
      <c r="ET149" s="65"/>
      <c r="EU149" s="65"/>
      <c r="EV149" s="65"/>
      <c r="EW149" s="65"/>
      <c r="EX149" s="65"/>
      <c r="EY149" s="65"/>
      <c r="EZ149" s="65"/>
      <c r="FA149" s="65"/>
      <c r="FB149" s="65"/>
      <c r="FC149" s="65"/>
      <c r="FD149" s="65"/>
      <c r="FE149" s="65"/>
      <c r="FF149" s="65"/>
      <c r="FG149" s="65"/>
      <c r="FH149" s="65"/>
      <c r="FI149" s="65"/>
      <c r="FJ149" s="65"/>
      <c r="FK149" s="65"/>
      <c r="FL149" s="65"/>
      <c r="FM149" s="65"/>
      <c r="FN149" s="65"/>
      <c r="FO149" s="65"/>
      <c r="FP149" s="65"/>
      <c r="FQ149" s="65"/>
      <c r="FR149" s="65"/>
      <c r="FS149" s="65"/>
      <c r="FT149" s="65"/>
      <c r="FU149" s="65"/>
    </row>
    <row r="150" spans="1:177" s="1" customFormat="1" ht="16.5" hidden="1" thickBot="1">
      <c r="A150" s="16"/>
      <c r="B150" s="19" t="s">
        <v>18</v>
      </c>
      <c r="C150" s="21" t="e">
        <f>#REF!-#REF!</f>
        <v>#REF!</v>
      </c>
      <c r="D150" s="21" t="e">
        <f>#REF!-#REF!</f>
        <v>#REF!</v>
      </c>
      <c r="E150" s="21" t="e">
        <f>#REF!-#REF!</f>
        <v>#REF!</v>
      </c>
      <c r="F150" s="21" t="e">
        <f>#REF!-#REF!</f>
        <v>#REF!</v>
      </c>
      <c r="G150" s="21" t="e">
        <f>#REF!-#REF!</f>
        <v>#REF!</v>
      </c>
      <c r="H150" s="21"/>
      <c r="I150" s="21" t="e">
        <f>#REF!-#REF!</f>
        <v>#REF!</v>
      </c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5"/>
      <c r="BF150" s="65"/>
      <c r="BG150" s="65"/>
      <c r="BH150" s="65"/>
      <c r="BI150" s="65"/>
      <c r="BJ150" s="65"/>
      <c r="BK150" s="65"/>
      <c r="BL150" s="65"/>
      <c r="BM150" s="65"/>
      <c r="BN150" s="65"/>
      <c r="BO150" s="65"/>
      <c r="BP150" s="65"/>
      <c r="BQ150" s="65"/>
      <c r="BR150" s="65"/>
      <c r="BS150" s="65"/>
      <c r="BT150" s="65"/>
      <c r="BU150" s="65"/>
      <c r="BV150" s="65"/>
      <c r="BW150" s="65"/>
      <c r="BX150" s="65"/>
      <c r="BY150" s="65"/>
      <c r="BZ150" s="65"/>
      <c r="CA150" s="65"/>
      <c r="CB150" s="65"/>
      <c r="CC150" s="65"/>
      <c r="CD150" s="65"/>
      <c r="CE150" s="65"/>
      <c r="CF150" s="65"/>
      <c r="CG150" s="65"/>
      <c r="CH150" s="65"/>
      <c r="CI150" s="65"/>
      <c r="CJ150" s="65"/>
      <c r="CK150" s="65"/>
      <c r="CL150" s="65"/>
      <c r="CM150" s="65"/>
      <c r="CN150" s="65"/>
      <c r="CO150" s="65"/>
      <c r="CP150" s="65"/>
      <c r="CQ150" s="65"/>
      <c r="CR150" s="65"/>
      <c r="CS150" s="65"/>
      <c r="CT150" s="65"/>
      <c r="CU150" s="65"/>
      <c r="CV150" s="65"/>
      <c r="CW150" s="65"/>
      <c r="CX150" s="65"/>
      <c r="CY150" s="65"/>
      <c r="CZ150" s="65"/>
      <c r="DA150" s="65"/>
      <c r="DB150" s="65"/>
      <c r="DC150" s="65"/>
      <c r="DD150" s="65"/>
      <c r="DE150" s="65"/>
      <c r="DF150" s="65"/>
      <c r="DG150" s="65"/>
      <c r="DH150" s="65"/>
      <c r="DI150" s="65"/>
      <c r="DJ150" s="65"/>
      <c r="DK150" s="65"/>
      <c r="DL150" s="65"/>
      <c r="DM150" s="65"/>
      <c r="DN150" s="65"/>
      <c r="DO150" s="65"/>
      <c r="DP150" s="65"/>
      <c r="DQ150" s="65"/>
      <c r="DR150" s="65"/>
      <c r="DS150" s="65"/>
      <c r="DT150" s="65"/>
      <c r="DU150" s="65"/>
      <c r="DV150" s="65"/>
      <c r="DW150" s="65"/>
      <c r="DX150" s="65"/>
      <c r="DY150" s="65"/>
      <c r="DZ150" s="65"/>
      <c r="EA150" s="65"/>
      <c r="EB150" s="65"/>
      <c r="EC150" s="65"/>
      <c r="ED150" s="65"/>
      <c r="EE150" s="65"/>
      <c r="EF150" s="65"/>
      <c r="EG150" s="65"/>
      <c r="EH150" s="65"/>
      <c r="EI150" s="65"/>
      <c r="EJ150" s="65"/>
      <c r="EK150" s="65"/>
      <c r="EL150" s="65"/>
      <c r="EM150" s="65"/>
      <c r="EN150" s="65"/>
      <c r="EO150" s="65"/>
      <c r="EP150" s="65"/>
      <c r="EQ150" s="65"/>
      <c r="ER150" s="65"/>
      <c r="ES150" s="65"/>
      <c r="ET150" s="65"/>
      <c r="EU150" s="65"/>
      <c r="EV150" s="65"/>
      <c r="EW150" s="65"/>
      <c r="EX150" s="65"/>
      <c r="EY150" s="65"/>
      <c r="EZ150" s="65"/>
      <c r="FA150" s="65"/>
      <c r="FB150" s="65"/>
      <c r="FC150" s="65"/>
      <c r="FD150" s="65"/>
      <c r="FE150" s="65"/>
      <c r="FF150" s="65"/>
      <c r="FG150" s="65"/>
      <c r="FH150" s="65"/>
      <c r="FI150" s="65"/>
      <c r="FJ150" s="65"/>
      <c r="FK150" s="65"/>
      <c r="FL150" s="65"/>
      <c r="FM150" s="65"/>
      <c r="FN150" s="65"/>
      <c r="FO150" s="65"/>
      <c r="FP150" s="65"/>
      <c r="FQ150" s="65"/>
      <c r="FR150" s="65"/>
      <c r="FS150" s="65"/>
      <c r="FT150" s="65"/>
      <c r="FU150" s="65"/>
    </row>
    <row r="151" spans="1:177" s="1" customFormat="1" ht="16.5" hidden="1" thickBot="1">
      <c r="A151" s="16"/>
      <c r="B151" s="19" t="s">
        <v>19</v>
      </c>
      <c r="C151" s="21" t="e">
        <f>#REF!</f>
        <v>#REF!</v>
      </c>
      <c r="D151" s="21" t="e">
        <f>#REF!</f>
        <v>#REF!</v>
      </c>
      <c r="E151" s="21" t="e">
        <f>#REF!</f>
        <v>#REF!</v>
      </c>
      <c r="F151" s="21" t="e">
        <f>#REF!</f>
        <v>#REF!</v>
      </c>
      <c r="G151" s="21" t="e">
        <f>#REF!</f>
        <v>#REF!</v>
      </c>
      <c r="H151" s="21"/>
      <c r="I151" s="21" t="e">
        <f>#REF!</f>
        <v>#REF!</v>
      </c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5"/>
      <c r="BD151" s="65"/>
      <c r="BE151" s="65"/>
      <c r="BF151" s="65"/>
      <c r="BG151" s="65"/>
      <c r="BH151" s="65"/>
      <c r="BI151" s="65"/>
      <c r="BJ151" s="65"/>
      <c r="BK151" s="65"/>
      <c r="BL151" s="65"/>
      <c r="BM151" s="65"/>
      <c r="BN151" s="65"/>
      <c r="BO151" s="65"/>
      <c r="BP151" s="65"/>
      <c r="BQ151" s="65"/>
      <c r="BR151" s="65"/>
      <c r="BS151" s="65"/>
      <c r="BT151" s="65"/>
      <c r="BU151" s="65"/>
      <c r="BV151" s="65"/>
      <c r="BW151" s="65"/>
      <c r="BX151" s="65"/>
      <c r="BY151" s="65"/>
      <c r="BZ151" s="65"/>
      <c r="CA151" s="65"/>
      <c r="CB151" s="65"/>
      <c r="CC151" s="65"/>
      <c r="CD151" s="65"/>
      <c r="CE151" s="65"/>
      <c r="CF151" s="65"/>
      <c r="CG151" s="65"/>
      <c r="CH151" s="65"/>
      <c r="CI151" s="65"/>
      <c r="CJ151" s="65"/>
      <c r="CK151" s="65"/>
      <c r="CL151" s="65"/>
      <c r="CM151" s="65"/>
      <c r="CN151" s="65"/>
      <c r="CO151" s="65"/>
      <c r="CP151" s="65"/>
      <c r="CQ151" s="65"/>
      <c r="CR151" s="65"/>
      <c r="CS151" s="65"/>
      <c r="CT151" s="65"/>
      <c r="CU151" s="65"/>
      <c r="CV151" s="65"/>
      <c r="CW151" s="65"/>
      <c r="CX151" s="65"/>
      <c r="CY151" s="65"/>
      <c r="CZ151" s="65"/>
      <c r="DA151" s="65"/>
      <c r="DB151" s="65"/>
      <c r="DC151" s="65"/>
      <c r="DD151" s="65"/>
      <c r="DE151" s="65"/>
      <c r="DF151" s="65"/>
      <c r="DG151" s="65"/>
      <c r="DH151" s="65"/>
      <c r="DI151" s="65"/>
      <c r="DJ151" s="65"/>
      <c r="DK151" s="65"/>
      <c r="DL151" s="65"/>
      <c r="DM151" s="65"/>
      <c r="DN151" s="65"/>
      <c r="DO151" s="65"/>
      <c r="DP151" s="65"/>
      <c r="DQ151" s="65"/>
      <c r="DR151" s="65"/>
      <c r="DS151" s="65"/>
      <c r="DT151" s="65"/>
      <c r="DU151" s="65"/>
      <c r="DV151" s="65"/>
      <c r="DW151" s="65"/>
      <c r="DX151" s="65"/>
      <c r="DY151" s="65"/>
      <c r="DZ151" s="65"/>
      <c r="EA151" s="65"/>
      <c r="EB151" s="65"/>
      <c r="EC151" s="65"/>
      <c r="ED151" s="65"/>
      <c r="EE151" s="65"/>
      <c r="EF151" s="65"/>
      <c r="EG151" s="65"/>
      <c r="EH151" s="65"/>
      <c r="EI151" s="65"/>
      <c r="EJ151" s="65"/>
      <c r="EK151" s="65"/>
      <c r="EL151" s="65"/>
      <c r="EM151" s="65"/>
      <c r="EN151" s="65"/>
      <c r="EO151" s="65"/>
      <c r="EP151" s="65"/>
      <c r="EQ151" s="65"/>
      <c r="ER151" s="65"/>
      <c r="ES151" s="65"/>
      <c r="ET151" s="65"/>
      <c r="EU151" s="65"/>
      <c r="EV151" s="65"/>
      <c r="EW151" s="65"/>
      <c r="EX151" s="65"/>
      <c r="EY151" s="65"/>
      <c r="EZ151" s="65"/>
      <c r="FA151" s="65"/>
      <c r="FB151" s="65"/>
      <c r="FC151" s="65"/>
      <c r="FD151" s="65"/>
      <c r="FE151" s="65"/>
      <c r="FF151" s="65"/>
      <c r="FG151" s="65"/>
      <c r="FH151" s="65"/>
      <c r="FI151" s="65"/>
      <c r="FJ151" s="65"/>
      <c r="FK151" s="65"/>
      <c r="FL151" s="65"/>
      <c r="FM151" s="65"/>
      <c r="FN151" s="65"/>
      <c r="FO151" s="65"/>
      <c r="FP151" s="65"/>
      <c r="FQ151" s="65"/>
      <c r="FR151" s="65"/>
      <c r="FS151" s="65"/>
      <c r="FT151" s="65"/>
      <c r="FU151" s="65"/>
    </row>
    <row r="152" spans="1:177" s="1" customFormat="1" ht="16.5" hidden="1" thickBot="1">
      <c r="A152" s="16"/>
      <c r="B152" s="19" t="s">
        <v>20</v>
      </c>
      <c r="C152" s="21" t="e">
        <f>#REF!</f>
        <v>#REF!</v>
      </c>
      <c r="D152" s="21" t="e">
        <f>#REF!</f>
        <v>#REF!</v>
      </c>
      <c r="E152" s="21" t="e">
        <f>#REF!</f>
        <v>#REF!</v>
      </c>
      <c r="F152" s="21" t="e">
        <f>#REF!</f>
        <v>#REF!</v>
      </c>
      <c r="G152" s="21" t="e">
        <f>#REF!</f>
        <v>#REF!</v>
      </c>
      <c r="H152" s="21"/>
      <c r="I152" s="21" t="e">
        <f>#REF!</f>
        <v>#REF!</v>
      </c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  <c r="BD152" s="65"/>
      <c r="BE152" s="65"/>
      <c r="BF152" s="65"/>
      <c r="BG152" s="65"/>
      <c r="BH152" s="65"/>
      <c r="BI152" s="65"/>
      <c r="BJ152" s="65"/>
      <c r="BK152" s="65"/>
      <c r="BL152" s="65"/>
      <c r="BM152" s="65"/>
      <c r="BN152" s="65"/>
      <c r="BO152" s="65"/>
      <c r="BP152" s="65"/>
      <c r="BQ152" s="65"/>
      <c r="BR152" s="65"/>
      <c r="BS152" s="65"/>
      <c r="BT152" s="65"/>
      <c r="BU152" s="65"/>
      <c r="BV152" s="65"/>
      <c r="BW152" s="65"/>
      <c r="BX152" s="65"/>
      <c r="BY152" s="65"/>
      <c r="BZ152" s="65"/>
      <c r="CA152" s="65"/>
      <c r="CB152" s="65"/>
      <c r="CC152" s="65"/>
      <c r="CD152" s="65"/>
      <c r="CE152" s="65"/>
      <c r="CF152" s="65"/>
      <c r="CG152" s="65"/>
      <c r="CH152" s="65"/>
      <c r="CI152" s="65"/>
      <c r="CJ152" s="65"/>
      <c r="CK152" s="65"/>
      <c r="CL152" s="65"/>
      <c r="CM152" s="65"/>
      <c r="CN152" s="65"/>
      <c r="CO152" s="65"/>
      <c r="CP152" s="65"/>
      <c r="CQ152" s="65"/>
      <c r="CR152" s="65"/>
      <c r="CS152" s="65"/>
      <c r="CT152" s="65"/>
      <c r="CU152" s="65"/>
      <c r="CV152" s="65"/>
      <c r="CW152" s="65"/>
      <c r="CX152" s="65"/>
      <c r="CY152" s="65"/>
      <c r="CZ152" s="65"/>
      <c r="DA152" s="65"/>
      <c r="DB152" s="65"/>
      <c r="DC152" s="65"/>
      <c r="DD152" s="65"/>
      <c r="DE152" s="65"/>
      <c r="DF152" s="65"/>
      <c r="DG152" s="65"/>
      <c r="DH152" s="65"/>
      <c r="DI152" s="65"/>
      <c r="DJ152" s="65"/>
      <c r="DK152" s="65"/>
      <c r="DL152" s="65"/>
      <c r="DM152" s="65"/>
      <c r="DN152" s="65"/>
      <c r="DO152" s="65"/>
      <c r="DP152" s="65"/>
      <c r="DQ152" s="65"/>
      <c r="DR152" s="65"/>
      <c r="DS152" s="65"/>
      <c r="DT152" s="65"/>
      <c r="DU152" s="65"/>
      <c r="DV152" s="65"/>
      <c r="DW152" s="65"/>
      <c r="DX152" s="65"/>
      <c r="DY152" s="65"/>
      <c r="DZ152" s="65"/>
      <c r="EA152" s="65"/>
      <c r="EB152" s="65"/>
      <c r="EC152" s="65"/>
      <c r="ED152" s="65"/>
      <c r="EE152" s="65"/>
      <c r="EF152" s="65"/>
      <c r="EG152" s="65"/>
      <c r="EH152" s="65"/>
      <c r="EI152" s="65"/>
      <c r="EJ152" s="65"/>
      <c r="EK152" s="65"/>
      <c r="EL152" s="65"/>
      <c r="EM152" s="65"/>
      <c r="EN152" s="65"/>
      <c r="EO152" s="65"/>
      <c r="EP152" s="65"/>
      <c r="EQ152" s="65"/>
      <c r="ER152" s="65"/>
      <c r="ES152" s="65"/>
      <c r="ET152" s="65"/>
      <c r="EU152" s="65"/>
      <c r="EV152" s="65"/>
      <c r="EW152" s="65"/>
      <c r="EX152" s="65"/>
      <c r="EY152" s="65"/>
      <c r="EZ152" s="65"/>
      <c r="FA152" s="65"/>
      <c r="FB152" s="65"/>
      <c r="FC152" s="65"/>
      <c r="FD152" s="65"/>
      <c r="FE152" s="65"/>
      <c r="FF152" s="65"/>
      <c r="FG152" s="65"/>
      <c r="FH152" s="65"/>
      <c r="FI152" s="65"/>
      <c r="FJ152" s="65"/>
      <c r="FK152" s="65"/>
      <c r="FL152" s="65"/>
      <c r="FM152" s="65"/>
      <c r="FN152" s="65"/>
      <c r="FO152" s="65"/>
      <c r="FP152" s="65"/>
      <c r="FQ152" s="65"/>
      <c r="FR152" s="65"/>
      <c r="FS152" s="65"/>
      <c r="FT152" s="65"/>
      <c r="FU152" s="65"/>
    </row>
    <row r="153" spans="1:177" s="1" customFormat="1" ht="16.5" hidden="1" thickBot="1">
      <c r="A153" s="16"/>
      <c r="B153" s="19" t="s">
        <v>21</v>
      </c>
      <c r="C153" s="21" t="e">
        <f>#REF!</f>
        <v>#REF!</v>
      </c>
      <c r="D153" s="21" t="e">
        <f>#REF!</f>
        <v>#REF!</v>
      </c>
      <c r="E153" s="21" t="e">
        <f>#REF!</f>
        <v>#REF!</v>
      </c>
      <c r="F153" s="21" t="e">
        <f>#REF!</f>
        <v>#REF!</v>
      </c>
      <c r="G153" s="21" t="e">
        <f>#REF!</f>
        <v>#REF!</v>
      </c>
      <c r="H153" s="21"/>
      <c r="I153" s="21" t="e">
        <f>#REF!</f>
        <v>#REF!</v>
      </c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5"/>
      <c r="BD153" s="65"/>
      <c r="BE153" s="65"/>
      <c r="BF153" s="65"/>
      <c r="BG153" s="65"/>
      <c r="BH153" s="65"/>
      <c r="BI153" s="65"/>
      <c r="BJ153" s="65"/>
      <c r="BK153" s="65"/>
      <c r="BL153" s="65"/>
      <c r="BM153" s="65"/>
      <c r="BN153" s="65"/>
      <c r="BO153" s="65"/>
      <c r="BP153" s="65"/>
      <c r="BQ153" s="65"/>
      <c r="BR153" s="65"/>
      <c r="BS153" s="65"/>
      <c r="BT153" s="65"/>
      <c r="BU153" s="65"/>
      <c r="BV153" s="65"/>
      <c r="BW153" s="65"/>
      <c r="BX153" s="65"/>
      <c r="BY153" s="65"/>
      <c r="BZ153" s="65"/>
      <c r="CA153" s="65"/>
      <c r="CB153" s="65"/>
      <c r="CC153" s="65"/>
      <c r="CD153" s="65"/>
      <c r="CE153" s="65"/>
      <c r="CF153" s="65"/>
      <c r="CG153" s="65"/>
      <c r="CH153" s="65"/>
      <c r="CI153" s="65"/>
      <c r="CJ153" s="65"/>
      <c r="CK153" s="65"/>
      <c r="CL153" s="65"/>
      <c r="CM153" s="65"/>
      <c r="CN153" s="65"/>
      <c r="CO153" s="65"/>
      <c r="CP153" s="65"/>
      <c r="CQ153" s="65"/>
      <c r="CR153" s="65"/>
      <c r="CS153" s="65"/>
      <c r="CT153" s="65"/>
      <c r="CU153" s="65"/>
      <c r="CV153" s="65"/>
      <c r="CW153" s="65"/>
      <c r="CX153" s="65"/>
      <c r="CY153" s="65"/>
      <c r="CZ153" s="65"/>
      <c r="DA153" s="65"/>
      <c r="DB153" s="65"/>
      <c r="DC153" s="65"/>
      <c r="DD153" s="65"/>
      <c r="DE153" s="65"/>
      <c r="DF153" s="65"/>
      <c r="DG153" s="65"/>
      <c r="DH153" s="65"/>
      <c r="DI153" s="65"/>
      <c r="DJ153" s="65"/>
      <c r="DK153" s="65"/>
      <c r="DL153" s="65"/>
      <c r="DM153" s="65"/>
      <c r="DN153" s="65"/>
      <c r="DO153" s="65"/>
      <c r="DP153" s="65"/>
      <c r="DQ153" s="65"/>
      <c r="DR153" s="65"/>
      <c r="DS153" s="65"/>
      <c r="DT153" s="65"/>
      <c r="DU153" s="65"/>
      <c r="DV153" s="65"/>
      <c r="DW153" s="65"/>
      <c r="DX153" s="65"/>
      <c r="DY153" s="65"/>
      <c r="DZ153" s="65"/>
      <c r="EA153" s="65"/>
      <c r="EB153" s="65"/>
      <c r="EC153" s="65"/>
      <c r="ED153" s="65"/>
      <c r="EE153" s="65"/>
      <c r="EF153" s="65"/>
      <c r="EG153" s="65"/>
      <c r="EH153" s="65"/>
      <c r="EI153" s="65"/>
      <c r="EJ153" s="65"/>
      <c r="EK153" s="65"/>
      <c r="EL153" s="65"/>
      <c r="EM153" s="65"/>
      <c r="EN153" s="65"/>
      <c r="EO153" s="65"/>
      <c r="EP153" s="65"/>
      <c r="EQ153" s="65"/>
      <c r="ER153" s="65"/>
      <c r="ES153" s="65"/>
      <c r="ET153" s="65"/>
      <c r="EU153" s="65"/>
      <c r="EV153" s="65"/>
      <c r="EW153" s="65"/>
      <c r="EX153" s="65"/>
      <c r="EY153" s="65"/>
      <c r="EZ153" s="65"/>
      <c r="FA153" s="65"/>
      <c r="FB153" s="65"/>
      <c r="FC153" s="65"/>
      <c r="FD153" s="65"/>
      <c r="FE153" s="65"/>
      <c r="FF153" s="65"/>
      <c r="FG153" s="65"/>
      <c r="FH153" s="65"/>
      <c r="FI153" s="65"/>
      <c r="FJ153" s="65"/>
      <c r="FK153" s="65"/>
      <c r="FL153" s="65"/>
      <c r="FM153" s="65"/>
      <c r="FN153" s="65"/>
      <c r="FO153" s="65"/>
      <c r="FP153" s="65"/>
      <c r="FQ153" s="65"/>
      <c r="FR153" s="65"/>
      <c r="FS153" s="65"/>
      <c r="FT153" s="65"/>
      <c r="FU153" s="65"/>
    </row>
    <row r="154" spans="1:177" s="1" customFormat="1" ht="16.5" hidden="1" thickBot="1">
      <c r="A154" s="16"/>
      <c r="B154" s="19" t="s">
        <v>22</v>
      </c>
      <c r="C154" s="21" t="e">
        <f>#REF!</f>
        <v>#REF!</v>
      </c>
      <c r="D154" s="21" t="e">
        <f>#REF!</f>
        <v>#REF!</v>
      </c>
      <c r="E154" s="21" t="e">
        <f>#REF!</f>
        <v>#REF!</v>
      </c>
      <c r="F154" s="21" t="e">
        <f>#REF!</f>
        <v>#REF!</v>
      </c>
      <c r="G154" s="21" t="e">
        <f>#REF!</f>
        <v>#REF!</v>
      </c>
      <c r="H154" s="21"/>
      <c r="I154" s="21" t="e">
        <f>#REF!</f>
        <v>#REF!</v>
      </c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65"/>
      <c r="BD154" s="65"/>
      <c r="BE154" s="65"/>
      <c r="BF154" s="65"/>
      <c r="BG154" s="65"/>
      <c r="BH154" s="65"/>
      <c r="BI154" s="65"/>
      <c r="BJ154" s="65"/>
      <c r="BK154" s="65"/>
      <c r="BL154" s="65"/>
      <c r="BM154" s="65"/>
      <c r="BN154" s="65"/>
      <c r="BO154" s="65"/>
      <c r="BP154" s="65"/>
      <c r="BQ154" s="65"/>
      <c r="BR154" s="65"/>
      <c r="BS154" s="65"/>
      <c r="BT154" s="65"/>
      <c r="BU154" s="65"/>
      <c r="BV154" s="65"/>
      <c r="BW154" s="65"/>
      <c r="BX154" s="65"/>
      <c r="BY154" s="65"/>
      <c r="BZ154" s="65"/>
      <c r="CA154" s="65"/>
      <c r="CB154" s="65"/>
      <c r="CC154" s="65"/>
      <c r="CD154" s="65"/>
      <c r="CE154" s="65"/>
      <c r="CF154" s="65"/>
      <c r="CG154" s="65"/>
      <c r="CH154" s="65"/>
      <c r="CI154" s="65"/>
      <c r="CJ154" s="65"/>
      <c r="CK154" s="65"/>
      <c r="CL154" s="65"/>
      <c r="CM154" s="65"/>
      <c r="CN154" s="65"/>
      <c r="CO154" s="65"/>
      <c r="CP154" s="65"/>
      <c r="CQ154" s="65"/>
      <c r="CR154" s="65"/>
      <c r="CS154" s="65"/>
      <c r="CT154" s="65"/>
      <c r="CU154" s="65"/>
      <c r="CV154" s="65"/>
      <c r="CW154" s="65"/>
      <c r="CX154" s="65"/>
      <c r="CY154" s="65"/>
      <c r="CZ154" s="65"/>
      <c r="DA154" s="65"/>
      <c r="DB154" s="65"/>
      <c r="DC154" s="65"/>
      <c r="DD154" s="65"/>
      <c r="DE154" s="65"/>
      <c r="DF154" s="65"/>
      <c r="DG154" s="65"/>
      <c r="DH154" s="65"/>
      <c r="DI154" s="65"/>
      <c r="DJ154" s="65"/>
      <c r="DK154" s="65"/>
      <c r="DL154" s="65"/>
      <c r="DM154" s="65"/>
      <c r="DN154" s="65"/>
      <c r="DO154" s="65"/>
      <c r="DP154" s="65"/>
      <c r="DQ154" s="65"/>
      <c r="DR154" s="65"/>
      <c r="DS154" s="65"/>
      <c r="DT154" s="65"/>
      <c r="DU154" s="65"/>
      <c r="DV154" s="65"/>
      <c r="DW154" s="65"/>
      <c r="DX154" s="65"/>
      <c r="DY154" s="65"/>
      <c r="DZ154" s="65"/>
      <c r="EA154" s="65"/>
      <c r="EB154" s="65"/>
      <c r="EC154" s="65"/>
      <c r="ED154" s="65"/>
      <c r="EE154" s="65"/>
      <c r="EF154" s="65"/>
      <c r="EG154" s="65"/>
      <c r="EH154" s="65"/>
      <c r="EI154" s="65"/>
      <c r="EJ154" s="65"/>
      <c r="EK154" s="65"/>
      <c r="EL154" s="65"/>
      <c r="EM154" s="65"/>
      <c r="EN154" s="65"/>
      <c r="EO154" s="65"/>
      <c r="EP154" s="65"/>
      <c r="EQ154" s="65"/>
      <c r="ER154" s="65"/>
      <c r="ES154" s="65"/>
      <c r="ET154" s="65"/>
      <c r="EU154" s="65"/>
      <c r="EV154" s="65"/>
      <c r="EW154" s="65"/>
      <c r="EX154" s="65"/>
      <c r="EY154" s="65"/>
      <c r="EZ154" s="65"/>
      <c r="FA154" s="65"/>
      <c r="FB154" s="65"/>
      <c r="FC154" s="65"/>
      <c r="FD154" s="65"/>
      <c r="FE154" s="65"/>
      <c r="FF154" s="65"/>
      <c r="FG154" s="65"/>
      <c r="FH154" s="65"/>
      <c r="FI154" s="65"/>
      <c r="FJ154" s="65"/>
      <c r="FK154" s="65"/>
      <c r="FL154" s="65"/>
      <c r="FM154" s="65"/>
      <c r="FN154" s="65"/>
      <c r="FO154" s="65"/>
      <c r="FP154" s="65"/>
      <c r="FQ154" s="65"/>
      <c r="FR154" s="65"/>
      <c r="FS154" s="65"/>
      <c r="FT154" s="65"/>
      <c r="FU154" s="65"/>
    </row>
    <row r="155" spans="1:177" s="1" customFormat="1" ht="16.5" hidden="1" thickBot="1">
      <c r="A155" s="16"/>
      <c r="B155" s="19" t="s">
        <v>23</v>
      </c>
      <c r="C155" s="21" t="e">
        <f>#REF!+#REF!+C132+C133+C135+#REF!+C140+C141+C118+#REF!</f>
        <v>#REF!</v>
      </c>
      <c r="D155" s="21" t="e">
        <f>#REF!+#REF!+D132+D133+D135+#REF!+D140+D141+D118+#REF!</f>
        <v>#REF!</v>
      </c>
      <c r="E155" s="21" t="e">
        <f>#REF!+#REF!+E132+E133+E135+#REF!+E140+E141+E118+#REF!</f>
        <v>#REF!</v>
      </c>
      <c r="F155" s="21" t="e">
        <f>#REF!+#REF!+F132+F133+F135+#REF!+F140+F141+F118+#REF!</f>
        <v>#REF!</v>
      </c>
      <c r="G155" s="21" t="e">
        <f>#REF!+#REF!+G132+G133+G135+#REF!+G140+G141+G118+#REF!</f>
        <v>#REF!</v>
      </c>
      <c r="H155" s="21"/>
      <c r="I155" s="21" t="e">
        <f>#REF!+#REF!+I132+I133+I135+#REF!+I140+I141+I118+#REF!</f>
        <v>#REF!</v>
      </c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  <c r="AZ155" s="65"/>
      <c r="BA155" s="65"/>
      <c r="BB155" s="65"/>
      <c r="BC155" s="65"/>
      <c r="BD155" s="65"/>
      <c r="BE155" s="65"/>
      <c r="BF155" s="65"/>
      <c r="BG155" s="65"/>
      <c r="BH155" s="65"/>
      <c r="BI155" s="65"/>
      <c r="BJ155" s="65"/>
      <c r="BK155" s="65"/>
      <c r="BL155" s="65"/>
      <c r="BM155" s="65"/>
      <c r="BN155" s="65"/>
      <c r="BO155" s="65"/>
      <c r="BP155" s="65"/>
      <c r="BQ155" s="65"/>
      <c r="BR155" s="65"/>
      <c r="BS155" s="65"/>
      <c r="BT155" s="65"/>
      <c r="BU155" s="65"/>
      <c r="BV155" s="65"/>
      <c r="BW155" s="65"/>
      <c r="BX155" s="65"/>
      <c r="BY155" s="65"/>
      <c r="BZ155" s="65"/>
      <c r="CA155" s="65"/>
      <c r="CB155" s="65"/>
      <c r="CC155" s="65"/>
      <c r="CD155" s="65"/>
      <c r="CE155" s="65"/>
      <c r="CF155" s="65"/>
      <c r="CG155" s="65"/>
      <c r="CH155" s="65"/>
      <c r="CI155" s="65"/>
      <c r="CJ155" s="65"/>
      <c r="CK155" s="65"/>
      <c r="CL155" s="65"/>
      <c r="CM155" s="65"/>
      <c r="CN155" s="65"/>
      <c r="CO155" s="65"/>
      <c r="CP155" s="65"/>
      <c r="CQ155" s="65"/>
      <c r="CR155" s="65"/>
      <c r="CS155" s="65"/>
      <c r="CT155" s="65"/>
      <c r="CU155" s="65"/>
      <c r="CV155" s="65"/>
      <c r="CW155" s="65"/>
      <c r="CX155" s="65"/>
      <c r="CY155" s="65"/>
      <c r="CZ155" s="65"/>
      <c r="DA155" s="65"/>
      <c r="DB155" s="65"/>
      <c r="DC155" s="65"/>
      <c r="DD155" s="65"/>
      <c r="DE155" s="65"/>
      <c r="DF155" s="65"/>
      <c r="DG155" s="65"/>
      <c r="DH155" s="65"/>
      <c r="DI155" s="65"/>
      <c r="DJ155" s="65"/>
      <c r="DK155" s="65"/>
      <c r="DL155" s="65"/>
      <c r="DM155" s="65"/>
      <c r="DN155" s="65"/>
      <c r="DO155" s="65"/>
      <c r="DP155" s="65"/>
      <c r="DQ155" s="65"/>
      <c r="DR155" s="65"/>
      <c r="DS155" s="65"/>
      <c r="DT155" s="65"/>
      <c r="DU155" s="65"/>
      <c r="DV155" s="65"/>
      <c r="DW155" s="65"/>
      <c r="DX155" s="65"/>
      <c r="DY155" s="65"/>
      <c r="DZ155" s="65"/>
      <c r="EA155" s="65"/>
      <c r="EB155" s="65"/>
      <c r="EC155" s="65"/>
      <c r="ED155" s="65"/>
      <c r="EE155" s="65"/>
      <c r="EF155" s="65"/>
      <c r="EG155" s="65"/>
      <c r="EH155" s="65"/>
      <c r="EI155" s="65"/>
      <c r="EJ155" s="65"/>
      <c r="EK155" s="65"/>
      <c r="EL155" s="65"/>
      <c r="EM155" s="65"/>
      <c r="EN155" s="65"/>
      <c r="EO155" s="65"/>
      <c r="EP155" s="65"/>
      <c r="EQ155" s="65"/>
      <c r="ER155" s="65"/>
      <c r="ES155" s="65"/>
      <c r="ET155" s="65"/>
      <c r="EU155" s="65"/>
      <c r="EV155" s="65"/>
      <c r="EW155" s="65"/>
      <c r="EX155" s="65"/>
      <c r="EY155" s="65"/>
      <c r="EZ155" s="65"/>
      <c r="FA155" s="65"/>
      <c r="FB155" s="65"/>
      <c r="FC155" s="65"/>
      <c r="FD155" s="65"/>
      <c r="FE155" s="65"/>
      <c r="FF155" s="65"/>
      <c r="FG155" s="65"/>
      <c r="FH155" s="65"/>
      <c r="FI155" s="65"/>
      <c r="FJ155" s="65"/>
      <c r="FK155" s="65"/>
      <c r="FL155" s="65"/>
      <c r="FM155" s="65"/>
      <c r="FN155" s="65"/>
      <c r="FO155" s="65"/>
      <c r="FP155" s="65"/>
      <c r="FQ155" s="65"/>
      <c r="FR155" s="65"/>
      <c r="FS155" s="65"/>
      <c r="FT155" s="65"/>
      <c r="FU155" s="65"/>
    </row>
    <row r="156" spans="1:177" s="1" customFormat="1" ht="16.5" hidden="1" thickBot="1">
      <c r="A156" s="16"/>
      <c r="B156" s="19" t="s">
        <v>24</v>
      </c>
      <c r="C156" s="21" t="e">
        <f>#REF!+#REF!</f>
        <v>#REF!</v>
      </c>
      <c r="D156" s="21" t="e">
        <f>#REF!+#REF!</f>
        <v>#REF!</v>
      </c>
      <c r="E156" s="21" t="e">
        <f>#REF!+#REF!</f>
        <v>#REF!</v>
      </c>
      <c r="F156" s="21" t="e">
        <f>#REF!+#REF!</f>
        <v>#REF!</v>
      </c>
      <c r="G156" s="21" t="e">
        <f>#REF!+#REF!</f>
        <v>#REF!</v>
      </c>
      <c r="H156" s="21"/>
      <c r="I156" s="21" t="e">
        <f>#REF!+#REF!</f>
        <v>#REF!</v>
      </c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  <c r="AO156" s="65"/>
      <c r="AP156" s="65"/>
      <c r="AQ156" s="65"/>
      <c r="AR156" s="65"/>
      <c r="AS156" s="65"/>
      <c r="AT156" s="65"/>
      <c r="AU156" s="65"/>
      <c r="AV156" s="65"/>
      <c r="AW156" s="65"/>
      <c r="AX156" s="65"/>
      <c r="AY156" s="65"/>
      <c r="AZ156" s="65"/>
      <c r="BA156" s="65"/>
      <c r="BB156" s="65"/>
      <c r="BC156" s="65"/>
      <c r="BD156" s="65"/>
      <c r="BE156" s="65"/>
      <c r="BF156" s="65"/>
      <c r="BG156" s="65"/>
      <c r="BH156" s="65"/>
      <c r="BI156" s="65"/>
      <c r="BJ156" s="65"/>
      <c r="BK156" s="65"/>
      <c r="BL156" s="65"/>
      <c r="BM156" s="65"/>
      <c r="BN156" s="65"/>
      <c r="BO156" s="65"/>
      <c r="BP156" s="65"/>
      <c r="BQ156" s="65"/>
      <c r="BR156" s="65"/>
      <c r="BS156" s="65"/>
      <c r="BT156" s="65"/>
      <c r="BU156" s="65"/>
      <c r="BV156" s="65"/>
      <c r="BW156" s="65"/>
      <c r="BX156" s="65"/>
      <c r="BY156" s="65"/>
      <c r="BZ156" s="65"/>
      <c r="CA156" s="65"/>
      <c r="CB156" s="65"/>
      <c r="CC156" s="65"/>
      <c r="CD156" s="65"/>
      <c r="CE156" s="65"/>
      <c r="CF156" s="65"/>
      <c r="CG156" s="65"/>
      <c r="CH156" s="65"/>
      <c r="CI156" s="65"/>
      <c r="CJ156" s="65"/>
      <c r="CK156" s="65"/>
      <c r="CL156" s="65"/>
      <c r="CM156" s="65"/>
      <c r="CN156" s="65"/>
      <c r="CO156" s="65"/>
      <c r="CP156" s="65"/>
      <c r="CQ156" s="65"/>
      <c r="CR156" s="65"/>
      <c r="CS156" s="65"/>
      <c r="CT156" s="65"/>
      <c r="CU156" s="65"/>
      <c r="CV156" s="65"/>
      <c r="CW156" s="65"/>
      <c r="CX156" s="65"/>
      <c r="CY156" s="65"/>
      <c r="CZ156" s="65"/>
      <c r="DA156" s="65"/>
      <c r="DB156" s="65"/>
      <c r="DC156" s="65"/>
      <c r="DD156" s="65"/>
      <c r="DE156" s="65"/>
      <c r="DF156" s="65"/>
      <c r="DG156" s="65"/>
      <c r="DH156" s="65"/>
      <c r="DI156" s="65"/>
      <c r="DJ156" s="65"/>
      <c r="DK156" s="65"/>
      <c r="DL156" s="65"/>
      <c r="DM156" s="65"/>
      <c r="DN156" s="65"/>
      <c r="DO156" s="65"/>
      <c r="DP156" s="65"/>
      <c r="DQ156" s="65"/>
      <c r="DR156" s="65"/>
      <c r="DS156" s="65"/>
      <c r="DT156" s="65"/>
      <c r="DU156" s="65"/>
      <c r="DV156" s="65"/>
      <c r="DW156" s="65"/>
      <c r="DX156" s="65"/>
      <c r="DY156" s="65"/>
      <c r="DZ156" s="65"/>
      <c r="EA156" s="65"/>
      <c r="EB156" s="65"/>
      <c r="EC156" s="65"/>
      <c r="ED156" s="65"/>
      <c r="EE156" s="65"/>
      <c r="EF156" s="65"/>
      <c r="EG156" s="65"/>
      <c r="EH156" s="65"/>
      <c r="EI156" s="65"/>
      <c r="EJ156" s="65"/>
      <c r="EK156" s="65"/>
      <c r="EL156" s="65"/>
      <c r="EM156" s="65"/>
      <c r="EN156" s="65"/>
      <c r="EO156" s="65"/>
      <c r="EP156" s="65"/>
      <c r="EQ156" s="65"/>
      <c r="ER156" s="65"/>
      <c r="ES156" s="65"/>
      <c r="ET156" s="65"/>
      <c r="EU156" s="65"/>
      <c r="EV156" s="65"/>
      <c r="EW156" s="65"/>
      <c r="EX156" s="65"/>
      <c r="EY156" s="65"/>
      <c r="EZ156" s="65"/>
      <c r="FA156" s="65"/>
      <c r="FB156" s="65"/>
      <c r="FC156" s="65"/>
      <c r="FD156" s="65"/>
      <c r="FE156" s="65"/>
      <c r="FF156" s="65"/>
      <c r="FG156" s="65"/>
      <c r="FH156" s="65"/>
      <c r="FI156" s="65"/>
      <c r="FJ156" s="65"/>
      <c r="FK156" s="65"/>
      <c r="FL156" s="65"/>
      <c r="FM156" s="65"/>
      <c r="FN156" s="65"/>
      <c r="FO156" s="65"/>
      <c r="FP156" s="65"/>
      <c r="FQ156" s="65"/>
      <c r="FR156" s="65"/>
      <c r="FS156" s="65"/>
      <c r="FT156" s="65"/>
      <c r="FU156" s="65"/>
    </row>
    <row r="157" spans="1:177" s="1" customFormat="1" ht="16.5" hidden="1" thickBot="1">
      <c r="A157" s="16"/>
      <c r="B157" s="19" t="s">
        <v>25</v>
      </c>
      <c r="C157" s="21">
        <f>C127+C131</f>
        <v>1534353.56</v>
      </c>
      <c r="D157" s="21">
        <f>D127+D131</f>
        <v>4412036.1400000006</v>
      </c>
      <c r="E157" s="21">
        <f>E127+E131</f>
        <v>1627698.07</v>
      </c>
      <c r="F157" s="21">
        <f>F127+F131</f>
        <v>5286950</v>
      </c>
      <c r="G157" s="21">
        <f>G127+G131</f>
        <v>5994510.8799999999</v>
      </c>
      <c r="H157" s="21"/>
      <c r="I157" s="21">
        <f>I127+I131</f>
        <v>8000000</v>
      </c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  <c r="AL157" s="65"/>
      <c r="AM157" s="65"/>
      <c r="AN157" s="65"/>
      <c r="AO157" s="65"/>
      <c r="AP157" s="65"/>
      <c r="AQ157" s="65"/>
      <c r="AR157" s="65"/>
      <c r="AS157" s="65"/>
      <c r="AT157" s="65"/>
      <c r="AU157" s="65"/>
      <c r="AV157" s="65"/>
      <c r="AW157" s="65"/>
      <c r="AX157" s="65"/>
      <c r="AY157" s="65"/>
      <c r="AZ157" s="65"/>
      <c r="BA157" s="65"/>
      <c r="BB157" s="65"/>
      <c r="BC157" s="65"/>
      <c r="BD157" s="65"/>
      <c r="BE157" s="65"/>
      <c r="BF157" s="65"/>
      <c r="BG157" s="65"/>
      <c r="BH157" s="65"/>
      <c r="BI157" s="65"/>
      <c r="BJ157" s="65"/>
      <c r="BK157" s="65"/>
      <c r="BL157" s="65"/>
      <c r="BM157" s="65"/>
      <c r="BN157" s="65"/>
      <c r="BO157" s="65"/>
      <c r="BP157" s="65"/>
      <c r="BQ157" s="65"/>
      <c r="BR157" s="65"/>
      <c r="BS157" s="65"/>
      <c r="BT157" s="65"/>
      <c r="BU157" s="65"/>
      <c r="BV157" s="65"/>
      <c r="BW157" s="65"/>
      <c r="BX157" s="65"/>
      <c r="BY157" s="65"/>
      <c r="BZ157" s="65"/>
      <c r="CA157" s="65"/>
      <c r="CB157" s="65"/>
      <c r="CC157" s="65"/>
      <c r="CD157" s="65"/>
      <c r="CE157" s="65"/>
      <c r="CF157" s="65"/>
      <c r="CG157" s="65"/>
      <c r="CH157" s="65"/>
      <c r="CI157" s="65"/>
      <c r="CJ157" s="65"/>
      <c r="CK157" s="65"/>
      <c r="CL157" s="65"/>
      <c r="CM157" s="65"/>
      <c r="CN157" s="65"/>
      <c r="CO157" s="65"/>
      <c r="CP157" s="65"/>
      <c r="CQ157" s="65"/>
      <c r="CR157" s="65"/>
      <c r="CS157" s="65"/>
      <c r="CT157" s="65"/>
      <c r="CU157" s="65"/>
      <c r="CV157" s="65"/>
      <c r="CW157" s="65"/>
      <c r="CX157" s="65"/>
      <c r="CY157" s="65"/>
      <c r="CZ157" s="65"/>
      <c r="DA157" s="65"/>
      <c r="DB157" s="65"/>
      <c r="DC157" s="65"/>
      <c r="DD157" s="65"/>
      <c r="DE157" s="65"/>
      <c r="DF157" s="65"/>
      <c r="DG157" s="65"/>
      <c r="DH157" s="65"/>
      <c r="DI157" s="65"/>
      <c r="DJ157" s="65"/>
      <c r="DK157" s="65"/>
      <c r="DL157" s="65"/>
      <c r="DM157" s="65"/>
      <c r="DN157" s="65"/>
      <c r="DO157" s="65"/>
      <c r="DP157" s="65"/>
      <c r="DQ157" s="65"/>
      <c r="DR157" s="65"/>
      <c r="DS157" s="65"/>
      <c r="DT157" s="65"/>
      <c r="DU157" s="65"/>
      <c r="DV157" s="65"/>
      <c r="DW157" s="65"/>
      <c r="DX157" s="65"/>
      <c r="DY157" s="65"/>
      <c r="DZ157" s="65"/>
      <c r="EA157" s="65"/>
      <c r="EB157" s="65"/>
      <c r="EC157" s="65"/>
      <c r="ED157" s="65"/>
      <c r="EE157" s="65"/>
      <c r="EF157" s="65"/>
      <c r="EG157" s="65"/>
      <c r="EH157" s="65"/>
      <c r="EI157" s="65"/>
      <c r="EJ157" s="65"/>
      <c r="EK157" s="65"/>
      <c r="EL157" s="65"/>
      <c r="EM157" s="65"/>
      <c r="EN157" s="65"/>
      <c r="EO157" s="65"/>
      <c r="EP157" s="65"/>
      <c r="EQ157" s="65"/>
      <c r="ER157" s="65"/>
      <c r="ES157" s="65"/>
      <c r="ET157" s="65"/>
      <c r="EU157" s="65"/>
      <c r="EV157" s="65"/>
      <c r="EW157" s="65"/>
      <c r="EX157" s="65"/>
      <c r="EY157" s="65"/>
      <c r="EZ157" s="65"/>
      <c r="FA157" s="65"/>
      <c r="FB157" s="65"/>
      <c r="FC157" s="65"/>
      <c r="FD157" s="65"/>
      <c r="FE157" s="65"/>
      <c r="FF157" s="65"/>
      <c r="FG157" s="65"/>
      <c r="FH157" s="65"/>
      <c r="FI157" s="65"/>
      <c r="FJ157" s="65"/>
      <c r="FK157" s="65"/>
      <c r="FL157" s="65"/>
      <c r="FM157" s="65"/>
      <c r="FN157" s="65"/>
      <c r="FO157" s="65"/>
      <c r="FP157" s="65"/>
      <c r="FQ157" s="65"/>
      <c r="FR157" s="65"/>
      <c r="FS157" s="65"/>
      <c r="FT157" s="65"/>
      <c r="FU157" s="65"/>
    </row>
    <row r="158" spans="1:177" s="1" customFormat="1" ht="16.5" hidden="1" thickBot="1">
      <c r="A158" s="16"/>
      <c r="B158" s="19" t="s">
        <v>26</v>
      </c>
      <c r="C158" s="21" t="e">
        <f>#REF!</f>
        <v>#REF!</v>
      </c>
      <c r="D158" s="21" t="e">
        <f>#REF!</f>
        <v>#REF!</v>
      </c>
      <c r="E158" s="21" t="e">
        <f>#REF!</f>
        <v>#REF!</v>
      </c>
      <c r="F158" s="21" t="e">
        <f>#REF!</f>
        <v>#REF!</v>
      </c>
      <c r="G158" s="21" t="e">
        <f>#REF!</f>
        <v>#REF!</v>
      </c>
      <c r="H158" s="21"/>
      <c r="I158" s="21" t="e">
        <f>#REF!</f>
        <v>#REF!</v>
      </c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AV158" s="65"/>
      <c r="AW158" s="65"/>
      <c r="AX158" s="65"/>
      <c r="AY158" s="65"/>
      <c r="AZ158" s="65"/>
      <c r="BA158" s="65"/>
      <c r="BB158" s="65"/>
      <c r="BC158" s="65"/>
      <c r="BD158" s="65"/>
      <c r="BE158" s="65"/>
      <c r="BF158" s="65"/>
      <c r="BG158" s="65"/>
      <c r="BH158" s="65"/>
      <c r="BI158" s="65"/>
      <c r="BJ158" s="65"/>
      <c r="BK158" s="65"/>
      <c r="BL158" s="65"/>
      <c r="BM158" s="65"/>
      <c r="BN158" s="65"/>
      <c r="BO158" s="65"/>
      <c r="BP158" s="65"/>
      <c r="BQ158" s="65"/>
      <c r="BR158" s="65"/>
      <c r="BS158" s="65"/>
      <c r="BT158" s="65"/>
      <c r="BU158" s="65"/>
      <c r="BV158" s="65"/>
      <c r="BW158" s="65"/>
      <c r="BX158" s="65"/>
      <c r="BY158" s="65"/>
      <c r="BZ158" s="65"/>
      <c r="CA158" s="65"/>
      <c r="CB158" s="65"/>
      <c r="CC158" s="65"/>
      <c r="CD158" s="65"/>
      <c r="CE158" s="65"/>
      <c r="CF158" s="65"/>
      <c r="CG158" s="65"/>
      <c r="CH158" s="65"/>
      <c r="CI158" s="65"/>
      <c r="CJ158" s="65"/>
      <c r="CK158" s="65"/>
      <c r="CL158" s="65"/>
      <c r="CM158" s="65"/>
      <c r="CN158" s="65"/>
      <c r="CO158" s="65"/>
      <c r="CP158" s="65"/>
      <c r="CQ158" s="65"/>
      <c r="CR158" s="65"/>
      <c r="CS158" s="65"/>
      <c r="CT158" s="65"/>
      <c r="CU158" s="65"/>
      <c r="CV158" s="65"/>
      <c r="CW158" s="65"/>
      <c r="CX158" s="65"/>
      <c r="CY158" s="65"/>
      <c r="CZ158" s="65"/>
      <c r="DA158" s="65"/>
      <c r="DB158" s="65"/>
      <c r="DC158" s="65"/>
      <c r="DD158" s="65"/>
      <c r="DE158" s="65"/>
      <c r="DF158" s="65"/>
      <c r="DG158" s="65"/>
      <c r="DH158" s="65"/>
      <c r="DI158" s="65"/>
      <c r="DJ158" s="65"/>
      <c r="DK158" s="65"/>
      <c r="DL158" s="65"/>
      <c r="DM158" s="65"/>
      <c r="DN158" s="65"/>
      <c r="DO158" s="65"/>
      <c r="DP158" s="65"/>
      <c r="DQ158" s="65"/>
      <c r="DR158" s="65"/>
      <c r="DS158" s="65"/>
      <c r="DT158" s="65"/>
      <c r="DU158" s="65"/>
      <c r="DV158" s="65"/>
      <c r="DW158" s="65"/>
      <c r="DX158" s="65"/>
      <c r="DY158" s="65"/>
      <c r="DZ158" s="65"/>
      <c r="EA158" s="65"/>
      <c r="EB158" s="65"/>
      <c r="EC158" s="65"/>
      <c r="ED158" s="65"/>
      <c r="EE158" s="65"/>
      <c r="EF158" s="65"/>
      <c r="EG158" s="65"/>
      <c r="EH158" s="65"/>
      <c r="EI158" s="65"/>
      <c r="EJ158" s="65"/>
      <c r="EK158" s="65"/>
      <c r="EL158" s="65"/>
      <c r="EM158" s="65"/>
      <c r="EN158" s="65"/>
      <c r="EO158" s="65"/>
      <c r="EP158" s="65"/>
      <c r="EQ158" s="65"/>
      <c r="ER158" s="65"/>
      <c r="ES158" s="65"/>
      <c r="ET158" s="65"/>
      <c r="EU158" s="65"/>
      <c r="EV158" s="65"/>
      <c r="EW158" s="65"/>
      <c r="EX158" s="65"/>
      <c r="EY158" s="65"/>
      <c r="EZ158" s="65"/>
      <c r="FA158" s="65"/>
      <c r="FB158" s="65"/>
      <c r="FC158" s="65"/>
      <c r="FD158" s="65"/>
      <c r="FE158" s="65"/>
      <c r="FF158" s="65"/>
      <c r="FG158" s="65"/>
      <c r="FH158" s="65"/>
      <c r="FI158" s="65"/>
      <c r="FJ158" s="65"/>
      <c r="FK158" s="65"/>
      <c r="FL158" s="65"/>
      <c r="FM158" s="65"/>
      <c r="FN158" s="65"/>
      <c r="FO158" s="65"/>
      <c r="FP158" s="65"/>
      <c r="FQ158" s="65"/>
      <c r="FR158" s="65"/>
      <c r="FS158" s="65"/>
      <c r="FT158" s="65"/>
      <c r="FU158" s="65"/>
    </row>
    <row r="159" spans="1:177" s="1" customFormat="1" ht="16.5" hidden="1" thickBot="1">
      <c r="A159" s="16"/>
      <c r="B159" s="19" t="s">
        <v>27</v>
      </c>
      <c r="C159" s="21" t="e">
        <f>C122+#REF!+#REF!+#REF!+#REF!+#REF!+#REF!</f>
        <v>#REF!</v>
      </c>
      <c r="D159" s="21" t="e">
        <f>D122+#REF!+#REF!+#REF!+#REF!+#REF!+#REF!</f>
        <v>#REF!</v>
      </c>
      <c r="E159" s="21" t="e">
        <f>E122+#REF!+#REF!+#REF!+#REF!+#REF!+#REF!</f>
        <v>#REF!</v>
      </c>
      <c r="F159" s="21" t="e">
        <f>F122+#REF!+#REF!+#REF!+#REF!+#REF!+#REF!</f>
        <v>#REF!</v>
      </c>
      <c r="G159" s="21" t="e">
        <f>G122+#REF!+#REF!+#REF!+#REF!+#REF!+#REF!</f>
        <v>#REF!</v>
      </c>
      <c r="H159" s="21"/>
      <c r="I159" s="21" t="e">
        <f>I122+#REF!+#REF!+#REF!+#REF!+#REF!+#REF!</f>
        <v>#REF!</v>
      </c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/>
      <c r="AZ159" s="65"/>
      <c r="BA159" s="65"/>
      <c r="BB159" s="65"/>
      <c r="BC159" s="65"/>
      <c r="BD159" s="65"/>
      <c r="BE159" s="65"/>
      <c r="BF159" s="65"/>
      <c r="BG159" s="65"/>
      <c r="BH159" s="65"/>
      <c r="BI159" s="65"/>
      <c r="BJ159" s="65"/>
      <c r="BK159" s="65"/>
      <c r="BL159" s="65"/>
      <c r="BM159" s="65"/>
      <c r="BN159" s="65"/>
      <c r="BO159" s="65"/>
      <c r="BP159" s="65"/>
      <c r="BQ159" s="65"/>
      <c r="BR159" s="65"/>
      <c r="BS159" s="65"/>
      <c r="BT159" s="65"/>
      <c r="BU159" s="65"/>
      <c r="BV159" s="65"/>
      <c r="BW159" s="65"/>
      <c r="BX159" s="65"/>
      <c r="BY159" s="65"/>
      <c r="BZ159" s="65"/>
      <c r="CA159" s="65"/>
      <c r="CB159" s="65"/>
      <c r="CC159" s="65"/>
      <c r="CD159" s="65"/>
      <c r="CE159" s="65"/>
      <c r="CF159" s="65"/>
      <c r="CG159" s="65"/>
      <c r="CH159" s="65"/>
      <c r="CI159" s="65"/>
      <c r="CJ159" s="65"/>
      <c r="CK159" s="65"/>
      <c r="CL159" s="65"/>
      <c r="CM159" s="65"/>
      <c r="CN159" s="65"/>
      <c r="CO159" s="65"/>
      <c r="CP159" s="65"/>
      <c r="CQ159" s="65"/>
      <c r="CR159" s="65"/>
      <c r="CS159" s="65"/>
      <c r="CT159" s="65"/>
      <c r="CU159" s="65"/>
      <c r="CV159" s="65"/>
      <c r="CW159" s="65"/>
      <c r="CX159" s="65"/>
      <c r="CY159" s="65"/>
      <c r="CZ159" s="65"/>
      <c r="DA159" s="65"/>
      <c r="DB159" s="65"/>
      <c r="DC159" s="65"/>
      <c r="DD159" s="65"/>
      <c r="DE159" s="65"/>
      <c r="DF159" s="65"/>
      <c r="DG159" s="65"/>
      <c r="DH159" s="65"/>
      <c r="DI159" s="65"/>
      <c r="DJ159" s="65"/>
      <c r="DK159" s="65"/>
      <c r="DL159" s="65"/>
      <c r="DM159" s="65"/>
      <c r="DN159" s="65"/>
      <c r="DO159" s="65"/>
      <c r="DP159" s="65"/>
      <c r="DQ159" s="65"/>
      <c r="DR159" s="65"/>
      <c r="DS159" s="65"/>
      <c r="DT159" s="65"/>
      <c r="DU159" s="65"/>
      <c r="DV159" s="65"/>
      <c r="DW159" s="65"/>
      <c r="DX159" s="65"/>
      <c r="DY159" s="65"/>
      <c r="DZ159" s="65"/>
      <c r="EA159" s="65"/>
      <c r="EB159" s="65"/>
      <c r="EC159" s="65"/>
      <c r="ED159" s="65"/>
      <c r="EE159" s="65"/>
      <c r="EF159" s="65"/>
      <c r="EG159" s="65"/>
      <c r="EH159" s="65"/>
      <c r="EI159" s="65"/>
      <c r="EJ159" s="65"/>
      <c r="EK159" s="65"/>
      <c r="EL159" s="65"/>
      <c r="EM159" s="65"/>
      <c r="EN159" s="65"/>
      <c r="EO159" s="65"/>
      <c r="EP159" s="65"/>
      <c r="EQ159" s="65"/>
      <c r="ER159" s="65"/>
      <c r="ES159" s="65"/>
      <c r="ET159" s="65"/>
      <c r="EU159" s="65"/>
      <c r="EV159" s="65"/>
      <c r="EW159" s="65"/>
      <c r="EX159" s="65"/>
      <c r="EY159" s="65"/>
      <c r="EZ159" s="65"/>
      <c r="FA159" s="65"/>
      <c r="FB159" s="65"/>
      <c r="FC159" s="65"/>
      <c r="FD159" s="65"/>
      <c r="FE159" s="65"/>
      <c r="FF159" s="65"/>
      <c r="FG159" s="65"/>
      <c r="FH159" s="65"/>
      <c r="FI159" s="65"/>
      <c r="FJ159" s="65"/>
      <c r="FK159" s="65"/>
      <c r="FL159" s="65"/>
      <c r="FM159" s="65"/>
      <c r="FN159" s="65"/>
      <c r="FO159" s="65"/>
      <c r="FP159" s="65"/>
      <c r="FQ159" s="65"/>
      <c r="FR159" s="65"/>
      <c r="FS159" s="65"/>
      <c r="FT159" s="65"/>
      <c r="FU159" s="65"/>
    </row>
    <row r="160" spans="1:177" s="1" customFormat="1" ht="16.5" hidden="1" thickBot="1">
      <c r="A160" s="16"/>
      <c r="B160" s="19" t="s">
        <v>33</v>
      </c>
      <c r="C160" s="21" t="e">
        <f>#REF!</f>
        <v>#REF!</v>
      </c>
      <c r="D160" s="21" t="e">
        <f>#REF!</f>
        <v>#REF!</v>
      </c>
      <c r="E160" s="21" t="e">
        <f>#REF!</f>
        <v>#REF!</v>
      </c>
      <c r="F160" s="21" t="e">
        <f>#REF!</f>
        <v>#REF!</v>
      </c>
      <c r="G160" s="21" t="e">
        <f>#REF!</f>
        <v>#REF!</v>
      </c>
      <c r="H160" s="21"/>
      <c r="I160" s="21" t="e">
        <f>#REF!</f>
        <v>#REF!</v>
      </c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65"/>
      <c r="BD160" s="65"/>
      <c r="BE160" s="65"/>
      <c r="BF160" s="65"/>
      <c r="BG160" s="65"/>
      <c r="BH160" s="65"/>
      <c r="BI160" s="65"/>
      <c r="BJ160" s="65"/>
      <c r="BK160" s="65"/>
      <c r="BL160" s="65"/>
      <c r="BM160" s="65"/>
      <c r="BN160" s="65"/>
      <c r="BO160" s="65"/>
      <c r="BP160" s="65"/>
      <c r="BQ160" s="65"/>
      <c r="BR160" s="65"/>
      <c r="BS160" s="65"/>
      <c r="BT160" s="65"/>
      <c r="BU160" s="65"/>
      <c r="BV160" s="65"/>
      <c r="BW160" s="65"/>
      <c r="BX160" s="65"/>
      <c r="BY160" s="65"/>
      <c r="BZ160" s="65"/>
      <c r="CA160" s="65"/>
      <c r="CB160" s="65"/>
      <c r="CC160" s="65"/>
      <c r="CD160" s="65"/>
      <c r="CE160" s="65"/>
      <c r="CF160" s="65"/>
      <c r="CG160" s="65"/>
      <c r="CH160" s="65"/>
      <c r="CI160" s="65"/>
      <c r="CJ160" s="65"/>
      <c r="CK160" s="65"/>
      <c r="CL160" s="65"/>
      <c r="CM160" s="65"/>
      <c r="CN160" s="65"/>
      <c r="CO160" s="65"/>
      <c r="CP160" s="65"/>
      <c r="CQ160" s="65"/>
      <c r="CR160" s="65"/>
      <c r="CS160" s="65"/>
      <c r="CT160" s="65"/>
      <c r="CU160" s="65"/>
      <c r="CV160" s="65"/>
      <c r="CW160" s="65"/>
      <c r="CX160" s="65"/>
      <c r="CY160" s="65"/>
      <c r="CZ160" s="65"/>
      <c r="DA160" s="65"/>
      <c r="DB160" s="65"/>
      <c r="DC160" s="65"/>
      <c r="DD160" s="65"/>
      <c r="DE160" s="65"/>
      <c r="DF160" s="65"/>
      <c r="DG160" s="65"/>
      <c r="DH160" s="65"/>
      <c r="DI160" s="65"/>
      <c r="DJ160" s="65"/>
      <c r="DK160" s="65"/>
      <c r="DL160" s="65"/>
      <c r="DM160" s="65"/>
      <c r="DN160" s="65"/>
      <c r="DO160" s="65"/>
      <c r="DP160" s="65"/>
      <c r="DQ160" s="65"/>
      <c r="DR160" s="65"/>
      <c r="DS160" s="65"/>
      <c r="DT160" s="65"/>
      <c r="DU160" s="65"/>
      <c r="DV160" s="65"/>
      <c r="DW160" s="65"/>
      <c r="DX160" s="65"/>
      <c r="DY160" s="65"/>
      <c r="DZ160" s="65"/>
      <c r="EA160" s="65"/>
      <c r="EB160" s="65"/>
      <c r="EC160" s="65"/>
      <c r="ED160" s="65"/>
      <c r="EE160" s="65"/>
      <c r="EF160" s="65"/>
      <c r="EG160" s="65"/>
      <c r="EH160" s="65"/>
      <c r="EI160" s="65"/>
      <c r="EJ160" s="65"/>
      <c r="EK160" s="65"/>
      <c r="EL160" s="65"/>
      <c r="EM160" s="65"/>
      <c r="EN160" s="65"/>
      <c r="EO160" s="65"/>
      <c r="EP160" s="65"/>
      <c r="EQ160" s="65"/>
      <c r="ER160" s="65"/>
      <c r="ES160" s="65"/>
      <c r="ET160" s="65"/>
      <c r="EU160" s="65"/>
      <c r="EV160" s="65"/>
      <c r="EW160" s="65"/>
      <c r="EX160" s="65"/>
      <c r="EY160" s="65"/>
      <c r="EZ160" s="65"/>
      <c r="FA160" s="65"/>
      <c r="FB160" s="65"/>
      <c r="FC160" s="65"/>
      <c r="FD160" s="65"/>
      <c r="FE160" s="65"/>
      <c r="FF160" s="65"/>
      <c r="FG160" s="65"/>
      <c r="FH160" s="65"/>
      <c r="FI160" s="65"/>
      <c r="FJ160" s="65"/>
      <c r="FK160" s="65"/>
      <c r="FL160" s="65"/>
      <c r="FM160" s="65"/>
      <c r="FN160" s="65"/>
      <c r="FO160" s="65"/>
      <c r="FP160" s="65"/>
      <c r="FQ160" s="65"/>
      <c r="FR160" s="65"/>
      <c r="FS160" s="65"/>
      <c r="FT160" s="65"/>
      <c r="FU160" s="65"/>
    </row>
    <row r="161" spans="1:177" s="1" customFormat="1" ht="16.5" hidden="1" thickBot="1">
      <c r="A161" s="16"/>
      <c r="B161" s="19" t="s">
        <v>28</v>
      </c>
      <c r="C161" s="21" t="e">
        <f>#REF!+#REF!</f>
        <v>#REF!</v>
      </c>
      <c r="D161" s="21" t="e">
        <f>#REF!+#REF!</f>
        <v>#REF!</v>
      </c>
      <c r="E161" s="21" t="e">
        <f>#REF!+#REF!</f>
        <v>#REF!</v>
      </c>
      <c r="F161" s="21" t="e">
        <f>#REF!+#REF!</f>
        <v>#REF!</v>
      </c>
      <c r="G161" s="21" t="e">
        <f>#REF!+#REF!</f>
        <v>#REF!</v>
      </c>
      <c r="H161" s="21"/>
      <c r="I161" s="21" t="e">
        <f>#REF!+#REF!</f>
        <v>#REF!</v>
      </c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AQ161" s="65"/>
      <c r="AR161" s="65"/>
      <c r="AS161" s="65"/>
      <c r="AT161" s="65"/>
      <c r="AU161" s="65"/>
      <c r="AV161" s="65"/>
      <c r="AW161" s="65"/>
      <c r="AX161" s="65"/>
      <c r="AY161" s="65"/>
      <c r="AZ161" s="65"/>
      <c r="BA161" s="65"/>
      <c r="BB161" s="65"/>
      <c r="BC161" s="65"/>
      <c r="BD161" s="65"/>
      <c r="BE161" s="65"/>
      <c r="BF161" s="65"/>
      <c r="BG161" s="65"/>
      <c r="BH161" s="65"/>
      <c r="BI161" s="65"/>
      <c r="BJ161" s="65"/>
      <c r="BK161" s="65"/>
      <c r="BL161" s="65"/>
      <c r="BM161" s="65"/>
      <c r="BN161" s="65"/>
      <c r="BO161" s="65"/>
      <c r="BP161" s="65"/>
      <c r="BQ161" s="65"/>
      <c r="BR161" s="65"/>
      <c r="BS161" s="65"/>
      <c r="BT161" s="65"/>
      <c r="BU161" s="65"/>
      <c r="BV161" s="65"/>
      <c r="BW161" s="65"/>
      <c r="BX161" s="65"/>
      <c r="BY161" s="65"/>
      <c r="BZ161" s="65"/>
      <c r="CA161" s="65"/>
      <c r="CB161" s="65"/>
      <c r="CC161" s="65"/>
      <c r="CD161" s="65"/>
      <c r="CE161" s="65"/>
      <c r="CF161" s="65"/>
      <c r="CG161" s="65"/>
      <c r="CH161" s="65"/>
      <c r="CI161" s="65"/>
      <c r="CJ161" s="65"/>
      <c r="CK161" s="65"/>
      <c r="CL161" s="65"/>
      <c r="CM161" s="65"/>
      <c r="CN161" s="65"/>
      <c r="CO161" s="65"/>
      <c r="CP161" s="65"/>
      <c r="CQ161" s="65"/>
      <c r="CR161" s="65"/>
      <c r="CS161" s="65"/>
      <c r="CT161" s="65"/>
      <c r="CU161" s="65"/>
      <c r="CV161" s="65"/>
      <c r="CW161" s="65"/>
      <c r="CX161" s="65"/>
      <c r="CY161" s="65"/>
      <c r="CZ161" s="65"/>
      <c r="DA161" s="65"/>
      <c r="DB161" s="65"/>
      <c r="DC161" s="65"/>
      <c r="DD161" s="65"/>
      <c r="DE161" s="65"/>
      <c r="DF161" s="65"/>
      <c r="DG161" s="65"/>
      <c r="DH161" s="65"/>
      <c r="DI161" s="65"/>
      <c r="DJ161" s="65"/>
      <c r="DK161" s="65"/>
      <c r="DL161" s="65"/>
      <c r="DM161" s="65"/>
      <c r="DN161" s="65"/>
      <c r="DO161" s="65"/>
      <c r="DP161" s="65"/>
      <c r="DQ161" s="65"/>
      <c r="DR161" s="65"/>
      <c r="DS161" s="65"/>
      <c r="DT161" s="65"/>
      <c r="DU161" s="65"/>
      <c r="DV161" s="65"/>
      <c r="DW161" s="65"/>
      <c r="DX161" s="65"/>
      <c r="DY161" s="65"/>
      <c r="DZ161" s="65"/>
      <c r="EA161" s="65"/>
      <c r="EB161" s="65"/>
      <c r="EC161" s="65"/>
      <c r="ED161" s="65"/>
      <c r="EE161" s="65"/>
      <c r="EF161" s="65"/>
      <c r="EG161" s="65"/>
      <c r="EH161" s="65"/>
      <c r="EI161" s="65"/>
      <c r="EJ161" s="65"/>
      <c r="EK161" s="65"/>
      <c r="EL161" s="65"/>
      <c r="EM161" s="65"/>
      <c r="EN161" s="65"/>
      <c r="EO161" s="65"/>
      <c r="EP161" s="65"/>
      <c r="EQ161" s="65"/>
      <c r="ER161" s="65"/>
      <c r="ES161" s="65"/>
      <c r="ET161" s="65"/>
      <c r="EU161" s="65"/>
      <c r="EV161" s="65"/>
      <c r="EW161" s="65"/>
      <c r="EX161" s="65"/>
      <c r="EY161" s="65"/>
      <c r="EZ161" s="65"/>
      <c r="FA161" s="65"/>
      <c r="FB161" s="65"/>
      <c r="FC161" s="65"/>
      <c r="FD161" s="65"/>
      <c r="FE161" s="65"/>
      <c r="FF161" s="65"/>
      <c r="FG161" s="65"/>
      <c r="FH161" s="65"/>
      <c r="FI161" s="65"/>
      <c r="FJ161" s="65"/>
      <c r="FK161" s="65"/>
      <c r="FL161" s="65"/>
      <c r="FM161" s="65"/>
      <c r="FN161" s="65"/>
      <c r="FO161" s="65"/>
      <c r="FP161" s="65"/>
      <c r="FQ161" s="65"/>
      <c r="FR161" s="65"/>
      <c r="FS161" s="65"/>
      <c r="FT161" s="65"/>
      <c r="FU161" s="65"/>
    </row>
    <row r="162" spans="1:177" s="1" customFormat="1" ht="16.5" hidden="1" thickBot="1">
      <c r="A162" s="16"/>
      <c r="B162" s="19" t="s">
        <v>29</v>
      </c>
      <c r="C162" s="21" t="e">
        <f>#REF!+#REF!</f>
        <v>#REF!</v>
      </c>
      <c r="D162" s="21" t="e">
        <f>#REF!+#REF!</f>
        <v>#REF!</v>
      </c>
      <c r="E162" s="21" t="e">
        <f>#REF!+#REF!</f>
        <v>#REF!</v>
      </c>
      <c r="F162" s="21" t="e">
        <f>#REF!+#REF!</f>
        <v>#REF!</v>
      </c>
      <c r="G162" s="21" t="e">
        <f>#REF!+#REF!</f>
        <v>#REF!</v>
      </c>
      <c r="H162" s="21"/>
      <c r="I162" s="21" t="e">
        <f>#REF!+#REF!</f>
        <v>#REF!</v>
      </c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65"/>
      <c r="BD162" s="65"/>
      <c r="BE162" s="65"/>
      <c r="BF162" s="65"/>
      <c r="BG162" s="65"/>
      <c r="BH162" s="65"/>
      <c r="BI162" s="65"/>
      <c r="BJ162" s="65"/>
      <c r="BK162" s="65"/>
      <c r="BL162" s="65"/>
      <c r="BM162" s="65"/>
      <c r="BN162" s="65"/>
      <c r="BO162" s="65"/>
      <c r="BP162" s="65"/>
      <c r="BQ162" s="65"/>
      <c r="BR162" s="65"/>
      <c r="BS162" s="65"/>
      <c r="BT162" s="65"/>
      <c r="BU162" s="65"/>
      <c r="BV162" s="65"/>
      <c r="BW162" s="65"/>
      <c r="BX162" s="65"/>
      <c r="BY162" s="65"/>
      <c r="BZ162" s="65"/>
      <c r="CA162" s="65"/>
      <c r="CB162" s="65"/>
      <c r="CC162" s="65"/>
      <c r="CD162" s="65"/>
      <c r="CE162" s="65"/>
      <c r="CF162" s="65"/>
      <c r="CG162" s="65"/>
      <c r="CH162" s="65"/>
      <c r="CI162" s="65"/>
      <c r="CJ162" s="65"/>
      <c r="CK162" s="65"/>
      <c r="CL162" s="65"/>
      <c r="CM162" s="65"/>
      <c r="CN162" s="65"/>
      <c r="CO162" s="65"/>
      <c r="CP162" s="65"/>
      <c r="CQ162" s="65"/>
      <c r="CR162" s="65"/>
      <c r="CS162" s="65"/>
      <c r="CT162" s="65"/>
      <c r="CU162" s="65"/>
      <c r="CV162" s="65"/>
      <c r="CW162" s="65"/>
      <c r="CX162" s="65"/>
      <c r="CY162" s="65"/>
      <c r="CZ162" s="65"/>
      <c r="DA162" s="65"/>
      <c r="DB162" s="65"/>
      <c r="DC162" s="65"/>
      <c r="DD162" s="65"/>
      <c r="DE162" s="65"/>
      <c r="DF162" s="65"/>
      <c r="DG162" s="65"/>
      <c r="DH162" s="65"/>
      <c r="DI162" s="65"/>
      <c r="DJ162" s="65"/>
      <c r="DK162" s="65"/>
      <c r="DL162" s="65"/>
      <c r="DM162" s="65"/>
      <c r="DN162" s="65"/>
      <c r="DO162" s="65"/>
      <c r="DP162" s="65"/>
      <c r="DQ162" s="65"/>
      <c r="DR162" s="65"/>
      <c r="DS162" s="65"/>
      <c r="DT162" s="65"/>
      <c r="DU162" s="65"/>
      <c r="DV162" s="65"/>
      <c r="DW162" s="65"/>
      <c r="DX162" s="65"/>
      <c r="DY162" s="65"/>
      <c r="DZ162" s="65"/>
      <c r="EA162" s="65"/>
      <c r="EB162" s="65"/>
      <c r="EC162" s="65"/>
      <c r="ED162" s="65"/>
      <c r="EE162" s="65"/>
      <c r="EF162" s="65"/>
      <c r="EG162" s="65"/>
      <c r="EH162" s="65"/>
      <c r="EI162" s="65"/>
      <c r="EJ162" s="65"/>
      <c r="EK162" s="65"/>
      <c r="EL162" s="65"/>
      <c r="EM162" s="65"/>
      <c r="EN162" s="65"/>
      <c r="EO162" s="65"/>
      <c r="EP162" s="65"/>
      <c r="EQ162" s="65"/>
      <c r="ER162" s="65"/>
      <c r="ES162" s="65"/>
      <c r="ET162" s="65"/>
      <c r="EU162" s="65"/>
      <c r="EV162" s="65"/>
      <c r="EW162" s="65"/>
      <c r="EX162" s="65"/>
      <c r="EY162" s="65"/>
      <c r="EZ162" s="65"/>
      <c r="FA162" s="65"/>
      <c r="FB162" s="65"/>
      <c r="FC162" s="65"/>
      <c r="FD162" s="65"/>
      <c r="FE162" s="65"/>
      <c r="FF162" s="65"/>
      <c r="FG162" s="65"/>
      <c r="FH162" s="65"/>
      <c r="FI162" s="65"/>
      <c r="FJ162" s="65"/>
      <c r="FK162" s="65"/>
      <c r="FL162" s="65"/>
      <c r="FM162" s="65"/>
      <c r="FN162" s="65"/>
      <c r="FO162" s="65"/>
      <c r="FP162" s="65"/>
      <c r="FQ162" s="65"/>
      <c r="FR162" s="65"/>
      <c r="FS162" s="65"/>
      <c r="FT162" s="65"/>
      <c r="FU162" s="65"/>
    </row>
    <row r="163" spans="1:177" s="1" customFormat="1" ht="16.5" hidden="1" thickBot="1">
      <c r="A163" s="16"/>
      <c r="B163" s="19" t="s">
        <v>30</v>
      </c>
      <c r="C163" s="21" t="e">
        <f>C161+C162</f>
        <v>#REF!</v>
      </c>
      <c r="D163" s="21" t="e">
        <f t="shared" ref="D163:I163" si="29">D161+D162</f>
        <v>#REF!</v>
      </c>
      <c r="E163" s="21" t="e">
        <f t="shared" si="29"/>
        <v>#REF!</v>
      </c>
      <c r="F163" s="21" t="e">
        <f t="shared" si="29"/>
        <v>#REF!</v>
      </c>
      <c r="G163" s="21" t="e">
        <f t="shared" si="29"/>
        <v>#REF!</v>
      </c>
      <c r="H163" s="21"/>
      <c r="I163" s="21" t="e">
        <f t="shared" si="29"/>
        <v>#REF!</v>
      </c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  <c r="BB163" s="65"/>
      <c r="BC163" s="65"/>
      <c r="BD163" s="65"/>
      <c r="BE163" s="65"/>
      <c r="BF163" s="65"/>
      <c r="BG163" s="65"/>
      <c r="BH163" s="65"/>
      <c r="BI163" s="65"/>
      <c r="BJ163" s="65"/>
      <c r="BK163" s="65"/>
      <c r="BL163" s="65"/>
      <c r="BM163" s="65"/>
      <c r="BN163" s="65"/>
      <c r="BO163" s="65"/>
      <c r="BP163" s="65"/>
      <c r="BQ163" s="65"/>
      <c r="BR163" s="65"/>
      <c r="BS163" s="65"/>
      <c r="BT163" s="65"/>
      <c r="BU163" s="65"/>
      <c r="BV163" s="65"/>
      <c r="BW163" s="65"/>
      <c r="BX163" s="65"/>
      <c r="BY163" s="65"/>
      <c r="BZ163" s="65"/>
      <c r="CA163" s="65"/>
      <c r="CB163" s="65"/>
      <c r="CC163" s="65"/>
      <c r="CD163" s="65"/>
      <c r="CE163" s="65"/>
      <c r="CF163" s="65"/>
      <c r="CG163" s="65"/>
      <c r="CH163" s="65"/>
      <c r="CI163" s="65"/>
      <c r="CJ163" s="65"/>
      <c r="CK163" s="65"/>
      <c r="CL163" s="65"/>
      <c r="CM163" s="65"/>
      <c r="CN163" s="65"/>
      <c r="CO163" s="65"/>
      <c r="CP163" s="65"/>
      <c r="CQ163" s="65"/>
      <c r="CR163" s="65"/>
      <c r="CS163" s="65"/>
      <c r="CT163" s="65"/>
      <c r="CU163" s="65"/>
      <c r="CV163" s="65"/>
      <c r="CW163" s="65"/>
      <c r="CX163" s="65"/>
      <c r="CY163" s="65"/>
      <c r="CZ163" s="65"/>
      <c r="DA163" s="65"/>
      <c r="DB163" s="65"/>
      <c r="DC163" s="65"/>
      <c r="DD163" s="65"/>
      <c r="DE163" s="65"/>
      <c r="DF163" s="65"/>
      <c r="DG163" s="65"/>
      <c r="DH163" s="65"/>
      <c r="DI163" s="65"/>
      <c r="DJ163" s="65"/>
      <c r="DK163" s="65"/>
      <c r="DL163" s="65"/>
      <c r="DM163" s="65"/>
      <c r="DN163" s="65"/>
      <c r="DO163" s="65"/>
      <c r="DP163" s="65"/>
      <c r="DQ163" s="65"/>
      <c r="DR163" s="65"/>
      <c r="DS163" s="65"/>
      <c r="DT163" s="65"/>
      <c r="DU163" s="65"/>
      <c r="DV163" s="65"/>
      <c r="DW163" s="65"/>
      <c r="DX163" s="65"/>
      <c r="DY163" s="65"/>
      <c r="DZ163" s="65"/>
      <c r="EA163" s="65"/>
      <c r="EB163" s="65"/>
      <c r="EC163" s="65"/>
      <c r="ED163" s="65"/>
      <c r="EE163" s="65"/>
      <c r="EF163" s="65"/>
      <c r="EG163" s="65"/>
      <c r="EH163" s="65"/>
      <c r="EI163" s="65"/>
      <c r="EJ163" s="65"/>
      <c r="EK163" s="65"/>
      <c r="EL163" s="65"/>
      <c r="EM163" s="65"/>
      <c r="EN163" s="65"/>
      <c r="EO163" s="65"/>
      <c r="EP163" s="65"/>
      <c r="EQ163" s="65"/>
      <c r="ER163" s="65"/>
      <c r="ES163" s="65"/>
      <c r="ET163" s="65"/>
      <c r="EU163" s="65"/>
      <c r="EV163" s="65"/>
      <c r="EW163" s="65"/>
      <c r="EX163" s="65"/>
      <c r="EY163" s="65"/>
      <c r="EZ163" s="65"/>
      <c r="FA163" s="65"/>
      <c r="FB163" s="65"/>
      <c r="FC163" s="65"/>
      <c r="FD163" s="65"/>
      <c r="FE163" s="65"/>
      <c r="FF163" s="65"/>
      <c r="FG163" s="65"/>
      <c r="FH163" s="65"/>
      <c r="FI163" s="65"/>
      <c r="FJ163" s="65"/>
      <c r="FK163" s="65"/>
      <c r="FL163" s="65"/>
      <c r="FM163" s="65"/>
      <c r="FN163" s="65"/>
      <c r="FO163" s="65"/>
      <c r="FP163" s="65"/>
      <c r="FQ163" s="65"/>
      <c r="FR163" s="65"/>
      <c r="FS163" s="65"/>
      <c r="FT163" s="65"/>
      <c r="FU163" s="65"/>
    </row>
    <row r="164" spans="1:177" s="1" customFormat="1" ht="16.5" hidden="1" thickBot="1">
      <c r="A164" s="16"/>
      <c r="B164" s="19" t="s">
        <v>31</v>
      </c>
      <c r="C164" s="21" t="e">
        <f xml:space="preserve"> ((C8+#REF!)-(C148)-((#REF!+#REF!)-C163))</f>
        <v>#REF!</v>
      </c>
      <c r="D164" s="21" t="e">
        <f xml:space="preserve"> ((D8+#REF!)-(D148)-((#REF!+#REF!)-D163))</f>
        <v>#REF!</v>
      </c>
      <c r="E164" s="21" t="e">
        <f xml:space="preserve"> ((E8+#REF!)-(E148)-((#REF!+#REF!)-E163))</f>
        <v>#REF!</v>
      </c>
      <c r="F164" s="21" t="e">
        <f xml:space="preserve"> ((F8+#REF!)-(F148)-((#REF!+#REF!)-F163))</f>
        <v>#REF!</v>
      </c>
      <c r="G164" s="21" t="e">
        <f xml:space="preserve"> ((G8+#REF!)-(G148)-((#REF!+#REF!)-G163))</f>
        <v>#REF!</v>
      </c>
      <c r="H164" s="21"/>
      <c r="I164" s="21" t="e">
        <f xml:space="preserve"> ((I8+#REF!)-(I148)-((#REF!+#REF!)-I163))</f>
        <v>#REF!</v>
      </c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5"/>
      <c r="BA164" s="65"/>
      <c r="BB164" s="65"/>
      <c r="BC164" s="65"/>
      <c r="BD164" s="65"/>
      <c r="BE164" s="65"/>
      <c r="BF164" s="65"/>
      <c r="BG164" s="65"/>
      <c r="BH164" s="65"/>
      <c r="BI164" s="65"/>
      <c r="BJ164" s="65"/>
      <c r="BK164" s="65"/>
      <c r="BL164" s="65"/>
      <c r="BM164" s="65"/>
      <c r="BN164" s="65"/>
      <c r="BO164" s="65"/>
      <c r="BP164" s="65"/>
      <c r="BQ164" s="65"/>
      <c r="BR164" s="65"/>
      <c r="BS164" s="65"/>
      <c r="BT164" s="65"/>
      <c r="BU164" s="65"/>
      <c r="BV164" s="65"/>
      <c r="BW164" s="65"/>
      <c r="BX164" s="65"/>
      <c r="BY164" s="65"/>
      <c r="BZ164" s="65"/>
      <c r="CA164" s="65"/>
      <c r="CB164" s="65"/>
      <c r="CC164" s="65"/>
      <c r="CD164" s="65"/>
      <c r="CE164" s="65"/>
      <c r="CF164" s="65"/>
      <c r="CG164" s="65"/>
      <c r="CH164" s="65"/>
      <c r="CI164" s="65"/>
      <c r="CJ164" s="65"/>
      <c r="CK164" s="65"/>
      <c r="CL164" s="65"/>
      <c r="CM164" s="65"/>
      <c r="CN164" s="65"/>
      <c r="CO164" s="65"/>
      <c r="CP164" s="65"/>
      <c r="CQ164" s="65"/>
      <c r="CR164" s="65"/>
      <c r="CS164" s="65"/>
      <c r="CT164" s="65"/>
      <c r="CU164" s="65"/>
      <c r="CV164" s="65"/>
      <c r="CW164" s="65"/>
      <c r="CX164" s="65"/>
      <c r="CY164" s="65"/>
      <c r="CZ164" s="65"/>
      <c r="DA164" s="65"/>
      <c r="DB164" s="65"/>
      <c r="DC164" s="65"/>
      <c r="DD164" s="65"/>
      <c r="DE164" s="65"/>
      <c r="DF164" s="65"/>
      <c r="DG164" s="65"/>
      <c r="DH164" s="65"/>
      <c r="DI164" s="65"/>
      <c r="DJ164" s="65"/>
      <c r="DK164" s="65"/>
      <c r="DL164" s="65"/>
      <c r="DM164" s="65"/>
      <c r="DN164" s="65"/>
      <c r="DO164" s="65"/>
      <c r="DP164" s="65"/>
      <c r="DQ164" s="65"/>
      <c r="DR164" s="65"/>
      <c r="DS164" s="65"/>
      <c r="DT164" s="65"/>
      <c r="DU164" s="65"/>
      <c r="DV164" s="65"/>
      <c r="DW164" s="65"/>
      <c r="DX164" s="65"/>
      <c r="DY164" s="65"/>
      <c r="DZ164" s="65"/>
      <c r="EA164" s="65"/>
      <c r="EB164" s="65"/>
      <c r="EC164" s="65"/>
      <c r="ED164" s="65"/>
      <c r="EE164" s="65"/>
      <c r="EF164" s="65"/>
      <c r="EG164" s="65"/>
      <c r="EH164" s="65"/>
      <c r="EI164" s="65"/>
      <c r="EJ164" s="65"/>
      <c r="EK164" s="65"/>
      <c r="EL164" s="65"/>
      <c r="EM164" s="65"/>
      <c r="EN164" s="65"/>
      <c r="EO164" s="65"/>
      <c r="EP164" s="65"/>
      <c r="EQ164" s="65"/>
      <c r="ER164" s="65"/>
      <c r="ES164" s="65"/>
      <c r="ET164" s="65"/>
      <c r="EU164" s="65"/>
      <c r="EV164" s="65"/>
      <c r="EW164" s="65"/>
      <c r="EX164" s="65"/>
      <c r="EY164" s="65"/>
      <c r="EZ164" s="65"/>
      <c r="FA164" s="65"/>
      <c r="FB164" s="65"/>
      <c r="FC164" s="65"/>
      <c r="FD164" s="65"/>
      <c r="FE164" s="65"/>
      <c r="FF164" s="65"/>
      <c r="FG164" s="65"/>
      <c r="FH164" s="65"/>
      <c r="FI164" s="65"/>
      <c r="FJ164" s="65"/>
      <c r="FK164" s="65"/>
      <c r="FL164" s="65"/>
      <c r="FM164" s="65"/>
      <c r="FN164" s="65"/>
      <c r="FO164" s="65"/>
      <c r="FP164" s="65"/>
      <c r="FQ164" s="65"/>
      <c r="FR164" s="65"/>
      <c r="FS164" s="65"/>
      <c r="FT164" s="65"/>
      <c r="FU164" s="65"/>
    </row>
    <row r="165" spans="1:177" s="1" customFormat="1" ht="16.5" hidden="1" thickBot="1">
      <c r="A165" s="16"/>
      <c r="B165" s="22" t="s">
        <v>32</v>
      </c>
      <c r="C165" s="23" t="e">
        <f>-(C164-(C161-C19-C20-C21-#REF!))</f>
        <v>#REF!</v>
      </c>
      <c r="D165" s="23" t="e">
        <f>-(D164-(D161-D19-D20-D21-#REF!))</f>
        <v>#REF!</v>
      </c>
      <c r="E165" s="23" t="e">
        <f>-(E164-(E161-E19-E20-E21-#REF!))</f>
        <v>#REF!</v>
      </c>
      <c r="F165" s="23" t="e">
        <f>-(F164-(F161-F19-F20-F21-#REF!))</f>
        <v>#REF!</v>
      </c>
      <c r="G165" s="23" t="e">
        <f>-(G164-(G161-G19-G20-G21-#REF!))</f>
        <v>#REF!</v>
      </c>
      <c r="H165" s="23"/>
      <c r="I165" s="23" t="e">
        <f>-(I164-(I161-I19-I20-I21-#REF!))</f>
        <v>#REF!</v>
      </c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5"/>
      <c r="BA165" s="65"/>
      <c r="BB165" s="65"/>
      <c r="BC165" s="65"/>
      <c r="BD165" s="65"/>
      <c r="BE165" s="65"/>
      <c r="BF165" s="65"/>
      <c r="BG165" s="65"/>
      <c r="BH165" s="65"/>
      <c r="BI165" s="65"/>
      <c r="BJ165" s="65"/>
      <c r="BK165" s="65"/>
      <c r="BL165" s="65"/>
      <c r="BM165" s="65"/>
      <c r="BN165" s="65"/>
      <c r="BO165" s="65"/>
      <c r="BP165" s="65"/>
      <c r="BQ165" s="65"/>
      <c r="BR165" s="65"/>
      <c r="BS165" s="65"/>
      <c r="BT165" s="65"/>
      <c r="BU165" s="65"/>
      <c r="BV165" s="65"/>
      <c r="BW165" s="65"/>
      <c r="BX165" s="65"/>
      <c r="BY165" s="65"/>
      <c r="BZ165" s="65"/>
      <c r="CA165" s="65"/>
      <c r="CB165" s="65"/>
      <c r="CC165" s="65"/>
      <c r="CD165" s="65"/>
      <c r="CE165" s="65"/>
      <c r="CF165" s="65"/>
      <c r="CG165" s="65"/>
      <c r="CH165" s="65"/>
      <c r="CI165" s="65"/>
      <c r="CJ165" s="65"/>
      <c r="CK165" s="65"/>
      <c r="CL165" s="65"/>
      <c r="CM165" s="65"/>
      <c r="CN165" s="65"/>
      <c r="CO165" s="65"/>
      <c r="CP165" s="65"/>
      <c r="CQ165" s="65"/>
      <c r="CR165" s="65"/>
      <c r="CS165" s="65"/>
      <c r="CT165" s="65"/>
      <c r="CU165" s="65"/>
      <c r="CV165" s="65"/>
      <c r="CW165" s="65"/>
      <c r="CX165" s="65"/>
      <c r="CY165" s="65"/>
      <c r="CZ165" s="65"/>
      <c r="DA165" s="65"/>
      <c r="DB165" s="65"/>
      <c r="DC165" s="65"/>
      <c r="DD165" s="65"/>
      <c r="DE165" s="65"/>
      <c r="DF165" s="65"/>
      <c r="DG165" s="65"/>
      <c r="DH165" s="65"/>
      <c r="DI165" s="65"/>
      <c r="DJ165" s="65"/>
      <c r="DK165" s="65"/>
      <c r="DL165" s="65"/>
      <c r="DM165" s="65"/>
      <c r="DN165" s="65"/>
      <c r="DO165" s="65"/>
      <c r="DP165" s="65"/>
      <c r="DQ165" s="65"/>
      <c r="DR165" s="65"/>
      <c r="DS165" s="65"/>
      <c r="DT165" s="65"/>
      <c r="DU165" s="65"/>
      <c r="DV165" s="65"/>
      <c r="DW165" s="65"/>
      <c r="DX165" s="65"/>
      <c r="DY165" s="65"/>
      <c r="DZ165" s="65"/>
      <c r="EA165" s="65"/>
      <c r="EB165" s="65"/>
      <c r="EC165" s="65"/>
      <c r="ED165" s="65"/>
      <c r="EE165" s="65"/>
      <c r="EF165" s="65"/>
      <c r="EG165" s="65"/>
      <c r="EH165" s="65"/>
      <c r="EI165" s="65"/>
      <c r="EJ165" s="65"/>
      <c r="EK165" s="65"/>
      <c r="EL165" s="65"/>
      <c r="EM165" s="65"/>
      <c r="EN165" s="65"/>
      <c r="EO165" s="65"/>
      <c r="EP165" s="65"/>
      <c r="EQ165" s="65"/>
      <c r="ER165" s="65"/>
      <c r="ES165" s="65"/>
      <c r="ET165" s="65"/>
      <c r="EU165" s="65"/>
      <c r="EV165" s="65"/>
      <c r="EW165" s="65"/>
      <c r="EX165" s="65"/>
      <c r="EY165" s="65"/>
      <c r="EZ165" s="65"/>
      <c r="FA165" s="65"/>
      <c r="FB165" s="65"/>
      <c r="FC165" s="65"/>
      <c r="FD165" s="65"/>
      <c r="FE165" s="65"/>
      <c r="FF165" s="65"/>
      <c r="FG165" s="65"/>
      <c r="FH165" s="65"/>
      <c r="FI165" s="65"/>
      <c r="FJ165" s="65"/>
      <c r="FK165" s="65"/>
      <c r="FL165" s="65"/>
      <c r="FM165" s="65"/>
      <c r="FN165" s="65"/>
      <c r="FO165" s="65"/>
      <c r="FP165" s="65"/>
      <c r="FQ165" s="65"/>
      <c r="FR165" s="65"/>
      <c r="FS165" s="65"/>
      <c r="FT165" s="65"/>
      <c r="FU165" s="65"/>
    </row>
    <row r="166" spans="1:177" s="1" customFormat="1" ht="16.5" thickTop="1">
      <c r="A166" s="16"/>
      <c r="B166" s="24"/>
      <c r="C166" s="24"/>
      <c r="D166" s="24"/>
      <c r="E166" s="24"/>
      <c r="F166" s="24"/>
      <c r="G166" s="24"/>
      <c r="H166" s="24"/>
      <c r="I166" s="24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AQ166" s="65"/>
      <c r="AR166" s="65"/>
      <c r="AS166" s="65"/>
      <c r="AT166" s="65"/>
      <c r="AU166" s="65"/>
      <c r="AV166" s="65"/>
      <c r="AW166" s="65"/>
      <c r="AX166" s="65"/>
      <c r="AY166" s="65"/>
      <c r="AZ166" s="65"/>
      <c r="BA166" s="65"/>
      <c r="BB166" s="65"/>
      <c r="BC166" s="65"/>
      <c r="BD166" s="65"/>
      <c r="BE166" s="65"/>
      <c r="BF166" s="65"/>
      <c r="BG166" s="65"/>
      <c r="BH166" s="65"/>
      <c r="BI166" s="65"/>
      <c r="BJ166" s="65"/>
      <c r="BK166" s="65"/>
      <c r="BL166" s="65"/>
      <c r="BM166" s="65"/>
      <c r="BN166" s="65"/>
      <c r="BO166" s="65"/>
      <c r="BP166" s="65"/>
      <c r="BQ166" s="65"/>
      <c r="BR166" s="65"/>
      <c r="BS166" s="65"/>
      <c r="BT166" s="65"/>
      <c r="BU166" s="65"/>
      <c r="BV166" s="65"/>
      <c r="BW166" s="65"/>
      <c r="BX166" s="65"/>
      <c r="BY166" s="65"/>
      <c r="BZ166" s="65"/>
      <c r="CA166" s="65"/>
      <c r="CB166" s="65"/>
      <c r="CC166" s="65"/>
      <c r="CD166" s="65"/>
      <c r="CE166" s="65"/>
      <c r="CF166" s="65"/>
      <c r="CG166" s="65"/>
      <c r="CH166" s="65"/>
      <c r="CI166" s="65"/>
      <c r="CJ166" s="65"/>
      <c r="CK166" s="65"/>
      <c r="CL166" s="65"/>
      <c r="CM166" s="65"/>
      <c r="CN166" s="65"/>
      <c r="CO166" s="65"/>
      <c r="CP166" s="65"/>
      <c r="CQ166" s="65"/>
      <c r="CR166" s="65"/>
      <c r="CS166" s="65"/>
      <c r="CT166" s="65"/>
      <c r="CU166" s="65"/>
      <c r="CV166" s="65"/>
      <c r="CW166" s="65"/>
      <c r="CX166" s="65"/>
      <c r="CY166" s="65"/>
      <c r="CZ166" s="65"/>
      <c r="DA166" s="65"/>
      <c r="DB166" s="65"/>
      <c r="DC166" s="65"/>
      <c r="DD166" s="65"/>
      <c r="DE166" s="65"/>
      <c r="DF166" s="65"/>
      <c r="DG166" s="65"/>
      <c r="DH166" s="65"/>
      <c r="DI166" s="65"/>
      <c r="DJ166" s="65"/>
      <c r="DK166" s="65"/>
      <c r="DL166" s="65"/>
      <c r="DM166" s="65"/>
      <c r="DN166" s="65"/>
      <c r="DO166" s="65"/>
      <c r="DP166" s="65"/>
      <c r="DQ166" s="65"/>
      <c r="DR166" s="65"/>
      <c r="DS166" s="65"/>
      <c r="DT166" s="65"/>
      <c r="DU166" s="65"/>
      <c r="DV166" s="65"/>
      <c r="DW166" s="65"/>
      <c r="DX166" s="65"/>
      <c r="DY166" s="65"/>
      <c r="DZ166" s="65"/>
      <c r="EA166" s="65"/>
      <c r="EB166" s="65"/>
      <c r="EC166" s="65"/>
      <c r="ED166" s="65"/>
      <c r="EE166" s="65"/>
      <c r="EF166" s="65"/>
      <c r="EG166" s="65"/>
      <c r="EH166" s="65"/>
      <c r="EI166" s="65"/>
      <c r="EJ166" s="65"/>
      <c r="EK166" s="65"/>
      <c r="EL166" s="65"/>
      <c r="EM166" s="65"/>
      <c r="EN166" s="65"/>
      <c r="EO166" s="65"/>
      <c r="EP166" s="65"/>
      <c r="EQ166" s="65"/>
      <c r="ER166" s="65"/>
      <c r="ES166" s="65"/>
      <c r="ET166" s="65"/>
      <c r="EU166" s="65"/>
      <c r="EV166" s="65"/>
      <c r="EW166" s="65"/>
      <c r="EX166" s="65"/>
      <c r="EY166" s="65"/>
      <c r="EZ166" s="65"/>
      <c r="FA166" s="65"/>
      <c r="FB166" s="65"/>
      <c r="FC166" s="65"/>
      <c r="FD166" s="65"/>
      <c r="FE166" s="65"/>
      <c r="FF166" s="65"/>
      <c r="FG166" s="65"/>
      <c r="FH166" s="65"/>
      <c r="FI166" s="65"/>
      <c r="FJ166" s="65"/>
      <c r="FK166" s="65"/>
      <c r="FL166" s="65"/>
      <c r="FM166" s="65"/>
      <c r="FN166" s="65"/>
      <c r="FO166" s="65"/>
      <c r="FP166" s="65"/>
      <c r="FQ166" s="65"/>
      <c r="FR166" s="65"/>
      <c r="FS166" s="65"/>
      <c r="FT166" s="65"/>
      <c r="FU166" s="65"/>
    </row>
    <row r="167" spans="1:177" s="1" customFormat="1">
      <c r="B167" s="5"/>
      <c r="C167" s="5"/>
      <c r="D167" s="5"/>
      <c r="E167" s="5"/>
      <c r="F167" s="5"/>
      <c r="G167" s="5"/>
      <c r="H167" s="5"/>
      <c r="I167" s="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  <c r="AL167" s="65"/>
      <c r="AM167" s="65"/>
      <c r="AN167" s="65"/>
      <c r="AO167" s="65"/>
      <c r="AP167" s="65"/>
      <c r="AQ167" s="65"/>
      <c r="AR167" s="65"/>
      <c r="AS167" s="65"/>
      <c r="AT167" s="65"/>
      <c r="AU167" s="65"/>
      <c r="AV167" s="65"/>
      <c r="AW167" s="65"/>
      <c r="AX167" s="65"/>
      <c r="AY167" s="65"/>
      <c r="AZ167" s="65"/>
      <c r="BA167" s="65"/>
      <c r="BB167" s="65"/>
      <c r="BC167" s="65"/>
      <c r="BD167" s="65"/>
      <c r="BE167" s="65"/>
      <c r="BF167" s="65"/>
      <c r="BG167" s="65"/>
      <c r="BH167" s="65"/>
      <c r="BI167" s="65"/>
      <c r="BJ167" s="65"/>
      <c r="BK167" s="65"/>
      <c r="BL167" s="65"/>
      <c r="BM167" s="65"/>
      <c r="BN167" s="65"/>
      <c r="BO167" s="65"/>
      <c r="BP167" s="65"/>
      <c r="BQ167" s="65"/>
      <c r="BR167" s="65"/>
      <c r="BS167" s="65"/>
      <c r="BT167" s="65"/>
      <c r="BU167" s="65"/>
      <c r="BV167" s="65"/>
      <c r="BW167" s="65"/>
      <c r="BX167" s="65"/>
      <c r="BY167" s="65"/>
      <c r="BZ167" s="65"/>
      <c r="CA167" s="65"/>
      <c r="CB167" s="65"/>
      <c r="CC167" s="65"/>
      <c r="CD167" s="65"/>
      <c r="CE167" s="65"/>
      <c r="CF167" s="65"/>
      <c r="CG167" s="65"/>
      <c r="CH167" s="65"/>
      <c r="CI167" s="65"/>
      <c r="CJ167" s="65"/>
      <c r="CK167" s="65"/>
      <c r="CL167" s="65"/>
      <c r="CM167" s="65"/>
      <c r="CN167" s="65"/>
      <c r="CO167" s="65"/>
      <c r="CP167" s="65"/>
      <c r="CQ167" s="65"/>
      <c r="CR167" s="65"/>
      <c r="CS167" s="65"/>
      <c r="CT167" s="65"/>
      <c r="CU167" s="65"/>
      <c r="CV167" s="65"/>
      <c r="CW167" s="65"/>
      <c r="CX167" s="65"/>
      <c r="CY167" s="65"/>
      <c r="CZ167" s="65"/>
      <c r="DA167" s="65"/>
      <c r="DB167" s="65"/>
      <c r="DC167" s="65"/>
      <c r="DD167" s="65"/>
      <c r="DE167" s="65"/>
      <c r="DF167" s="65"/>
      <c r="DG167" s="65"/>
      <c r="DH167" s="65"/>
      <c r="DI167" s="65"/>
      <c r="DJ167" s="65"/>
      <c r="DK167" s="65"/>
      <c r="DL167" s="65"/>
      <c r="DM167" s="65"/>
      <c r="DN167" s="65"/>
      <c r="DO167" s="65"/>
      <c r="DP167" s="65"/>
      <c r="DQ167" s="65"/>
      <c r="DR167" s="65"/>
      <c r="DS167" s="65"/>
      <c r="DT167" s="65"/>
      <c r="DU167" s="65"/>
      <c r="DV167" s="65"/>
      <c r="DW167" s="65"/>
      <c r="DX167" s="65"/>
      <c r="DY167" s="65"/>
      <c r="DZ167" s="65"/>
      <c r="EA167" s="65"/>
      <c r="EB167" s="65"/>
      <c r="EC167" s="65"/>
      <c r="ED167" s="65"/>
      <c r="EE167" s="65"/>
      <c r="EF167" s="65"/>
      <c r="EG167" s="65"/>
      <c r="EH167" s="65"/>
      <c r="EI167" s="65"/>
      <c r="EJ167" s="65"/>
      <c r="EK167" s="65"/>
      <c r="EL167" s="65"/>
      <c r="EM167" s="65"/>
      <c r="EN167" s="65"/>
      <c r="EO167" s="65"/>
      <c r="EP167" s="65"/>
      <c r="EQ167" s="65"/>
      <c r="ER167" s="65"/>
      <c r="ES167" s="65"/>
      <c r="ET167" s="65"/>
      <c r="EU167" s="65"/>
      <c r="EV167" s="65"/>
      <c r="EW167" s="65"/>
      <c r="EX167" s="65"/>
      <c r="EY167" s="65"/>
      <c r="EZ167" s="65"/>
      <c r="FA167" s="65"/>
      <c r="FB167" s="65"/>
      <c r="FC167" s="65"/>
      <c r="FD167" s="65"/>
      <c r="FE167" s="65"/>
      <c r="FF167" s="65"/>
      <c r="FG167" s="65"/>
      <c r="FH167" s="65"/>
      <c r="FI167" s="65"/>
      <c r="FJ167" s="65"/>
      <c r="FK167" s="65"/>
      <c r="FL167" s="65"/>
      <c r="FM167" s="65"/>
      <c r="FN167" s="65"/>
      <c r="FO167" s="65"/>
      <c r="FP167" s="65"/>
      <c r="FQ167" s="65"/>
      <c r="FR167" s="65"/>
      <c r="FS167" s="65"/>
      <c r="FT167" s="65"/>
      <c r="FU167" s="65"/>
    </row>
    <row r="168" spans="1:177" s="1" customFormat="1">
      <c r="B168" s="5"/>
      <c r="C168" s="5"/>
      <c r="D168" s="5"/>
      <c r="E168" s="5"/>
      <c r="F168" s="5"/>
      <c r="G168" s="5"/>
      <c r="H168" s="5"/>
      <c r="I168" s="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  <c r="AN168" s="65"/>
      <c r="AO168" s="65"/>
      <c r="AP168" s="65"/>
      <c r="AQ168" s="65"/>
      <c r="AR168" s="65"/>
      <c r="AS168" s="65"/>
      <c r="AT168" s="65"/>
      <c r="AU168" s="65"/>
      <c r="AV168" s="65"/>
      <c r="AW168" s="65"/>
      <c r="AX168" s="65"/>
      <c r="AY168" s="65"/>
      <c r="AZ168" s="65"/>
      <c r="BA168" s="65"/>
      <c r="BB168" s="65"/>
      <c r="BC168" s="65"/>
      <c r="BD168" s="65"/>
      <c r="BE168" s="65"/>
      <c r="BF168" s="65"/>
      <c r="BG168" s="65"/>
      <c r="BH168" s="65"/>
      <c r="BI168" s="65"/>
      <c r="BJ168" s="65"/>
      <c r="BK168" s="65"/>
      <c r="BL168" s="65"/>
      <c r="BM168" s="65"/>
      <c r="BN168" s="65"/>
      <c r="BO168" s="65"/>
      <c r="BP168" s="65"/>
      <c r="BQ168" s="65"/>
      <c r="BR168" s="65"/>
      <c r="BS168" s="65"/>
      <c r="BT168" s="65"/>
      <c r="BU168" s="65"/>
      <c r="BV168" s="65"/>
      <c r="BW168" s="65"/>
      <c r="BX168" s="65"/>
      <c r="BY168" s="65"/>
      <c r="BZ168" s="65"/>
      <c r="CA168" s="65"/>
      <c r="CB168" s="65"/>
      <c r="CC168" s="65"/>
      <c r="CD168" s="65"/>
      <c r="CE168" s="65"/>
      <c r="CF168" s="65"/>
      <c r="CG168" s="65"/>
      <c r="CH168" s="65"/>
      <c r="CI168" s="65"/>
      <c r="CJ168" s="65"/>
      <c r="CK168" s="65"/>
      <c r="CL168" s="65"/>
      <c r="CM168" s="65"/>
      <c r="CN168" s="65"/>
      <c r="CO168" s="65"/>
      <c r="CP168" s="65"/>
      <c r="CQ168" s="65"/>
      <c r="CR168" s="65"/>
      <c r="CS168" s="65"/>
      <c r="CT168" s="65"/>
      <c r="CU168" s="65"/>
      <c r="CV168" s="65"/>
      <c r="CW168" s="65"/>
      <c r="CX168" s="65"/>
      <c r="CY168" s="65"/>
      <c r="CZ168" s="65"/>
      <c r="DA168" s="65"/>
      <c r="DB168" s="65"/>
      <c r="DC168" s="65"/>
      <c r="DD168" s="65"/>
      <c r="DE168" s="65"/>
      <c r="DF168" s="65"/>
      <c r="DG168" s="65"/>
      <c r="DH168" s="65"/>
      <c r="DI168" s="65"/>
      <c r="DJ168" s="65"/>
      <c r="DK168" s="65"/>
      <c r="DL168" s="65"/>
      <c r="DM168" s="65"/>
      <c r="DN168" s="65"/>
      <c r="DO168" s="65"/>
      <c r="DP168" s="65"/>
      <c r="DQ168" s="65"/>
      <c r="DR168" s="65"/>
      <c r="DS168" s="65"/>
      <c r="DT168" s="65"/>
      <c r="DU168" s="65"/>
      <c r="DV168" s="65"/>
      <c r="DW168" s="65"/>
      <c r="DX168" s="65"/>
      <c r="DY168" s="65"/>
      <c r="DZ168" s="65"/>
      <c r="EA168" s="65"/>
      <c r="EB168" s="65"/>
      <c r="EC168" s="65"/>
      <c r="ED168" s="65"/>
      <c r="EE168" s="65"/>
      <c r="EF168" s="65"/>
      <c r="EG168" s="65"/>
      <c r="EH168" s="65"/>
      <c r="EI168" s="65"/>
      <c r="EJ168" s="65"/>
      <c r="EK168" s="65"/>
      <c r="EL168" s="65"/>
      <c r="EM168" s="65"/>
      <c r="EN168" s="65"/>
      <c r="EO168" s="65"/>
      <c r="EP168" s="65"/>
      <c r="EQ168" s="65"/>
      <c r="ER168" s="65"/>
      <c r="ES168" s="65"/>
      <c r="ET168" s="65"/>
      <c r="EU168" s="65"/>
      <c r="EV168" s="65"/>
      <c r="EW168" s="65"/>
      <c r="EX168" s="65"/>
      <c r="EY168" s="65"/>
      <c r="EZ168" s="65"/>
      <c r="FA168" s="65"/>
      <c r="FB168" s="65"/>
      <c r="FC168" s="65"/>
      <c r="FD168" s="65"/>
      <c r="FE168" s="65"/>
      <c r="FF168" s="65"/>
      <c r="FG168" s="65"/>
      <c r="FH168" s="65"/>
      <c r="FI168" s="65"/>
      <c r="FJ168" s="65"/>
      <c r="FK168" s="65"/>
      <c r="FL168" s="65"/>
      <c r="FM168" s="65"/>
      <c r="FN168" s="65"/>
      <c r="FO168" s="65"/>
      <c r="FP168" s="65"/>
      <c r="FQ168" s="65"/>
      <c r="FR168" s="65"/>
      <c r="FS168" s="65"/>
      <c r="FT168" s="65"/>
      <c r="FU168" s="65"/>
    </row>
    <row r="169" spans="1:177" s="1" customFormat="1">
      <c r="B169" s="5"/>
      <c r="C169" s="5"/>
      <c r="D169" s="5"/>
      <c r="E169" s="5"/>
      <c r="F169" s="5"/>
      <c r="G169" s="5"/>
      <c r="H169" s="5"/>
      <c r="I169" s="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  <c r="AL169" s="65"/>
      <c r="AM169" s="65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/>
      <c r="BA169" s="65"/>
      <c r="BB169" s="65"/>
      <c r="BC169" s="65"/>
      <c r="BD169" s="65"/>
      <c r="BE169" s="65"/>
      <c r="BF169" s="65"/>
      <c r="BG169" s="65"/>
      <c r="BH169" s="65"/>
      <c r="BI169" s="65"/>
      <c r="BJ169" s="65"/>
      <c r="BK169" s="65"/>
      <c r="BL169" s="65"/>
      <c r="BM169" s="65"/>
      <c r="BN169" s="65"/>
      <c r="BO169" s="65"/>
      <c r="BP169" s="65"/>
      <c r="BQ169" s="65"/>
      <c r="BR169" s="65"/>
      <c r="BS169" s="65"/>
      <c r="BT169" s="65"/>
      <c r="BU169" s="65"/>
      <c r="BV169" s="65"/>
      <c r="BW169" s="65"/>
      <c r="BX169" s="65"/>
      <c r="BY169" s="65"/>
      <c r="BZ169" s="65"/>
      <c r="CA169" s="65"/>
      <c r="CB169" s="65"/>
      <c r="CC169" s="65"/>
      <c r="CD169" s="65"/>
      <c r="CE169" s="65"/>
      <c r="CF169" s="65"/>
      <c r="CG169" s="65"/>
      <c r="CH169" s="65"/>
      <c r="CI169" s="65"/>
      <c r="CJ169" s="65"/>
      <c r="CK169" s="65"/>
      <c r="CL169" s="65"/>
      <c r="CM169" s="65"/>
      <c r="CN169" s="65"/>
      <c r="CO169" s="65"/>
      <c r="CP169" s="65"/>
      <c r="CQ169" s="65"/>
      <c r="CR169" s="65"/>
      <c r="CS169" s="65"/>
      <c r="CT169" s="65"/>
      <c r="CU169" s="65"/>
      <c r="CV169" s="65"/>
      <c r="CW169" s="65"/>
      <c r="CX169" s="65"/>
      <c r="CY169" s="65"/>
      <c r="CZ169" s="65"/>
      <c r="DA169" s="65"/>
      <c r="DB169" s="65"/>
      <c r="DC169" s="65"/>
      <c r="DD169" s="65"/>
      <c r="DE169" s="65"/>
      <c r="DF169" s="65"/>
      <c r="DG169" s="65"/>
      <c r="DH169" s="65"/>
      <c r="DI169" s="65"/>
      <c r="DJ169" s="65"/>
      <c r="DK169" s="65"/>
      <c r="DL169" s="65"/>
      <c r="DM169" s="65"/>
      <c r="DN169" s="65"/>
      <c r="DO169" s="65"/>
      <c r="DP169" s="65"/>
      <c r="DQ169" s="65"/>
      <c r="DR169" s="65"/>
      <c r="DS169" s="65"/>
      <c r="DT169" s="65"/>
      <c r="DU169" s="65"/>
      <c r="DV169" s="65"/>
      <c r="DW169" s="65"/>
      <c r="DX169" s="65"/>
      <c r="DY169" s="65"/>
      <c r="DZ169" s="65"/>
      <c r="EA169" s="65"/>
      <c r="EB169" s="65"/>
      <c r="EC169" s="65"/>
      <c r="ED169" s="65"/>
      <c r="EE169" s="65"/>
      <c r="EF169" s="65"/>
      <c r="EG169" s="65"/>
      <c r="EH169" s="65"/>
      <c r="EI169" s="65"/>
      <c r="EJ169" s="65"/>
      <c r="EK169" s="65"/>
      <c r="EL169" s="65"/>
      <c r="EM169" s="65"/>
      <c r="EN169" s="65"/>
      <c r="EO169" s="65"/>
      <c r="EP169" s="65"/>
      <c r="EQ169" s="65"/>
      <c r="ER169" s="65"/>
      <c r="ES169" s="65"/>
      <c r="ET169" s="65"/>
      <c r="EU169" s="65"/>
      <c r="EV169" s="65"/>
      <c r="EW169" s="65"/>
      <c r="EX169" s="65"/>
      <c r="EY169" s="65"/>
      <c r="EZ169" s="65"/>
      <c r="FA169" s="65"/>
      <c r="FB169" s="65"/>
      <c r="FC169" s="65"/>
      <c r="FD169" s="65"/>
      <c r="FE169" s="65"/>
      <c r="FF169" s="65"/>
      <c r="FG169" s="65"/>
      <c r="FH169" s="65"/>
      <c r="FI169" s="65"/>
      <c r="FJ169" s="65"/>
      <c r="FK169" s="65"/>
      <c r="FL169" s="65"/>
      <c r="FM169" s="65"/>
      <c r="FN169" s="65"/>
      <c r="FO169" s="65"/>
      <c r="FP169" s="65"/>
      <c r="FQ169" s="65"/>
      <c r="FR169" s="65"/>
      <c r="FS169" s="65"/>
      <c r="FT169" s="65"/>
      <c r="FU169" s="65"/>
    </row>
    <row r="170" spans="1:177" s="1" customFormat="1">
      <c r="B170" s="5"/>
      <c r="C170" s="5"/>
      <c r="D170" s="5"/>
      <c r="E170" s="5"/>
      <c r="F170" s="5"/>
      <c r="G170" s="5"/>
      <c r="H170" s="5"/>
      <c r="I170" s="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  <c r="BC170" s="65"/>
      <c r="BD170" s="65"/>
      <c r="BE170" s="65"/>
      <c r="BF170" s="65"/>
      <c r="BG170" s="65"/>
      <c r="BH170" s="65"/>
      <c r="BI170" s="65"/>
      <c r="BJ170" s="65"/>
      <c r="BK170" s="65"/>
      <c r="BL170" s="65"/>
      <c r="BM170" s="65"/>
      <c r="BN170" s="65"/>
      <c r="BO170" s="65"/>
      <c r="BP170" s="65"/>
      <c r="BQ170" s="65"/>
      <c r="BR170" s="65"/>
      <c r="BS170" s="65"/>
      <c r="BT170" s="65"/>
      <c r="BU170" s="65"/>
      <c r="BV170" s="65"/>
      <c r="BW170" s="65"/>
      <c r="BX170" s="65"/>
      <c r="BY170" s="65"/>
      <c r="BZ170" s="65"/>
      <c r="CA170" s="65"/>
      <c r="CB170" s="65"/>
      <c r="CC170" s="65"/>
      <c r="CD170" s="65"/>
      <c r="CE170" s="65"/>
      <c r="CF170" s="65"/>
      <c r="CG170" s="65"/>
      <c r="CH170" s="65"/>
      <c r="CI170" s="65"/>
      <c r="CJ170" s="65"/>
      <c r="CK170" s="65"/>
      <c r="CL170" s="65"/>
      <c r="CM170" s="65"/>
      <c r="CN170" s="65"/>
      <c r="CO170" s="65"/>
      <c r="CP170" s="65"/>
      <c r="CQ170" s="65"/>
      <c r="CR170" s="65"/>
      <c r="CS170" s="65"/>
      <c r="CT170" s="65"/>
      <c r="CU170" s="65"/>
      <c r="CV170" s="65"/>
      <c r="CW170" s="65"/>
      <c r="CX170" s="65"/>
      <c r="CY170" s="65"/>
      <c r="CZ170" s="65"/>
      <c r="DA170" s="65"/>
      <c r="DB170" s="65"/>
      <c r="DC170" s="65"/>
      <c r="DD170" s="65"/>
      <c r="DE170" s="65"/>
      <c r="DF170" s="65"/>
      <c r="DG170" s="65"/>
      <c r="DH170" s="65"/>
      <c r="DI170" s="65"/>
      <c r="DJ170" s="65"/>
      <c r="DK170" s="65"/>
      <c r="DL170" s="65"/>
      <c r="DM170" s="65"/>
      <c r="DN170" s="65"/>
      <c r="DO170" s="65"/>
      <c r="DP170" s="65"/>
      <c r="DQ170" s="65"/>
      <c r="DR170" s="65"/>
      <c r="DS170" s="65"/>
      <c r="DT170" s="65"/>
      <c r="DU170" s="65"/>
      <c r="DV170" s="65"/>
      <c r="DW170" s="65"/>
      <c r="DX170" s="65"/>
      <c r="DY170" s="65"/>
      <c r="DZ170" s="65"/>
      <c r="EA170" s="65"/>
      <c r="EB170" s="65"/>
      <c r="EC170" s="65"/>
      <c r="ED170" s="65"/>
      <c r="EE170" s="65"/>
      <c r="EF170" s="65"/>
      <c r="EG170" s="65"/>
      <c r="EH170" s="65"/>
      <c r="EI170" s="65"/>
      <c r="EJ170" s="65"/>
      <c r="EK170" s="65"/>
      <c r="EL170" s="65"/>
      <c r="EM170" s="65"/>
      <c r="EN170" s="65"/>
      <c r="EO170" s="65"/>
      <c r="EP170" s="65"/>
      <c r="EQ170" s="65"/>
      <c r="ER170" s="65"/>
      <c r="ES170" s="65"/>
      <c r="ET170" s="65"/>
      <c r="EU170" s="65"/>
      <c r="EV170" s="65"/>
      <c r="EW170" s="65"/>
      <c r="EX170" s="65"/>
      <c r="EY170" s="65"/>
      <c r="EZ170" s="65"/>
      <c r="FA170" s="65"/>
      <c r="FB170" s="65"/>
      <c r="FC170" s="65"/>
      <c r="FD170" s="65"/>
      <c r="FE170" s="65"/>
      <c r="FF170" s="65"/>
      <c r="FG170" s="65"/>
      <c r="FH170" s="65"/>
      <c r="FI170" s="65"/>
      <c r="FJ170" s="65"/>
      <c r="FK170" s="65"/>
      <c r="FL170" s="65"/>
      <c r="FM170" s="65"/>
      <c r="FN170" s="65"/>
      <c r="FO170" s="65"/>
      <c r="FP170" s="65"/>
      <c r="FQ170" s="65"/>
      <c r="FR170" s="65"/>
      <c r="FS170" s="65"/>
      <c r="FT170" s="65"/>
      <c r="FU170" s="65"/>
    </row>
    <row r="171" spans="1:177" s="1" customFormat="1">
      <c r="B171" s="2"/>
      <c r="C171" s="5"/>
      <c r="D171" s="5"/>
      <c r="E171" s="5"/>
      <c r="F171" s="5"/>
      <c r="G171" s="5"/>
      <c r="H171" s="5"/>
      <c r="I171" s="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  <c r="AM171" s="65"/>
      <c r="AN171" s="65"/>
      <c r="AO171" s="65"/>
      <c r="AP171" s="65"/>
      <c r="AQ171" s="65"/>
      <c r="AR171" s="65"/>
      <c r="AS171" s="65"/>
      <c r="AT171" s="65"/>
      <c r="AU171" s="65"/>
      <c r="AV171" s="65"/>
      <c r="AW171" s="65"/>
      <c r="AX171" s="65"/>
      <c r="AY171" s="65"/>
      <c r="AZ171" s="65"/>
      <c r="BA171" s="65"/>
      <c r="BB171" s="65"/>
      <c r="BC171" s="65"/>
      <c r="BD171" s="65"/>
      <c r="BE171" s="65"/>
      <c r="BF171" s="65"/>
      <c r="BG171" s="65"/>
      <c r="BH171" s="65"/>
      <c r="BI171" s="65"/>
      <c r="BJ171" s="65"/>
      <c r="BK171" s="65"/>
      <c r="BL171" s="65"/>
      <c r="BM171" s="65"/>
      <c r="BN171" s="65"/>
      <c r="BO171" s="65"/>
      <c r="BP171" s="65"/>
      <c r="BQ171" s="65"/>
      <c r="BR171" s="65"/>
      <c r="BS171" s="65"/>
      <c r="BT171" s="65"/>
      <c r="BU171" s="65"/>
      <c r="BV171" s="65"/>
      <c r="BW171" s="65"/>
      <c r="BX171" s="65"/>
      <c r="BY171" s="65"/>
      <c r="BZ171" s="65"/>
      <c r="CA171" s="65"/>
      <c r="CB171" s="65"/>
      <c r="CC171" s="65"/>
      <c r="CD171" s="65"/>
      <c r="CE171" s="65"/>
      <c r="CF171" s="65"/>
      <c r="CG171" s="65"/>
      <c r="CH171" s="65"/>
      <c r="CI171" s="65"/>
      <c r="CJ171" s="65"/>
      <c r="CK171" s="65"/>
      <c r="CL171" s="65"/>
      <c r="CM171" s="65"/>
      <c r="CN171" s="65"/>
      <c r="CO171" s="65"/>
      <c r="CP171" s="65"/>
      <c r="CQ171" s="65"/>
      <c r="CR171" s="65"/>
      <c r="CS171" s="65"/>
      <c r="CT171" s="65"/>
      <c r="CU171" s="65"/>
      <c r="CV171" s="65"/>
      <c r="CW171" s="65"/>
      <c r="CX171" s="65"/>
      <c r="CY171" s="65"/>
      <c r="CZ171" s="65"/>
      <c r="DA171" s="65"/>
      <c r="DB171" s="65"/>
      <c r="DC171" s="65"/>
      <c r="DD171" s="65"/>
      <c r="DE171" s="65"/>
      <c r="DF171" s="65"/>
      <c r="DG171" s="65"/>
      <c r="DH171" s="65"/>
      <c r="DI171" s="65"/>
      <c r="DJ171" s="65"/>
      <c r="DK171" s="65"/>
      <c r="DL171" s="65"/>
      <c r="DM171" s="65"/>
      <c r="DN171" s="65"/>
      <c r="DO171" s="65"/>
      <c r="DP171" s="65"/>
      <c r="DQ171" s="65"/>
      <c r="DR171" s="65"/>
      <c r="DS171" s="65"/>
      <c r="DT171" s="65"/>
      <c r="DU171" s="65"/>
      <c r="DV171" s="65"/>
      <c r="DW171" s="65"/>
      <c r="DX171" s="65"/>
      <c r="DY171" s="65"/>
      <c r="DZ171" s="65"/>
      <c r="EA171" s="65"/>
      <c r="EB171" s="65"/>
      <c r="EC171" s="65"/>
      <c r="ED171" s="65"/>
      <c r="EE171" s="65"/>
      <c r="EF171" s="65"/>
      <c r="EG171" s="65"/>
      <c r="EH171" s="65"/>
      <c r="EI171" s="65"/>
      <c r="EJ171" s="65"/>
      <c r="EK171" s="65"/>
      <c r="EL171" s="65"/>
      <c r="EM171" s="65"/>
      <c r="EN171" s="65"/>
      <c r="EO171" s="65"/>
      <c r="EP171" s="65"/>
      <c r="EQ171" s="65"/>
      <c r="ER171" s="65"/>
      <c r="ES171" s="65"/>
      <c r="ET171" s="65"/>
      <c r="EU171" s="65"/>
      <c r="EV171" s="65"/>
      <c r="EW171" s="65"/>
      <c r="EX171" s="65"/>
      <c r="EY171" s="65"/>
      <c r="EZ171" s="65"/>
      <c r="FA171" s="65"/>
      <c r="FB171" s="65"/>
      <c r="FC171" s="65"/>
      <c r="FD171" s="65"/>
      <c r="FE171" s="65"/>
      <c r="FF171" s="65"/>
      <c r="FG171" s="65"/>
      <c r="FH171" s="65"/>
      <c r="FI171" s="65"/>
      <c r="FJ171" s="65"/>
      <c r="FK171" s="65"/>
      <c r="FL171" s="65"/>
      <c r="FM171" s="65"/>
      <c r="FN171" s="65"/>
      <c r="FO171" s="65"/>
      <c r="FP171" s="65"/>
      <c r="FQ171" s="65"/>
      <c r="FR171" s="65"/>
      <c r="FS171" s="65"/>
      <c r="FT171" s="65"/>
      <c r="FU171" s="65"/>
    </row>
    <row r="172" spans="1:177" s="1" customFormat="1">
      <c r="B172" s="5"/>
      <c r="C172" s="5"/>
      <c r="D172" s="5"/>
      <c r="E172" s="5"/>
      <c r="F172" s="5"/>
      <c r="G172" s="5"/>
      <c r="H172" s="5"/>
      <c r="I172" s="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  <c r="AL172" s="65"/>
      <c r="AM172" s="65"/>
      <c r="AN172" s="65"/>
      <c r="AO172" s="65"/>
      <c r="AP172" s="65"/>
      <c r="AQ172" s="65"/>
      <c r="AR172" s="65"/>
      <c r="AS172" s="65"/>
      <c r="AT172" s="65"/>
      <c r="AU172" s="65"/>
      <c r="AV172" s="65"/>
      <c r="AW172" s="65"/>
      <c r="AX172" s="65"/>
      <c r="AY172" s="65"/>
      <c r="AZ172" s="65"/>
      <c r="BA172" s="65"/>
      <c r="BB172" s="65"/>
      <c r="BC172" s="65"/>
      <c r="BD172" s="65"/>
      <c r="BE172" s="65"/>
      <c r="BF172" s="65"/>
      <c r="BG172" s="65"/>
      <c r="BH172" s="65"/>
      <c r="BI172" s="65"/>
      <c r="BJ172" s="65"/>
      <c r="BK172" s="65"/>
      <c r="BL172" s="65"/>
      <c r="BM172" s="65"/>
      <c r="BN172" s="65"/>
      <c r="BO172" s="65"/>
      <c r="BP172" s="65"/>
      <c r="BQ172" s="65"/>
      <c r="BR172" s="65"/>
      <c r="BS172" s="65"/>
      <c r="BT172" s="65"/>
      <c r="BU172" s="65"/>
      <c r="BV172" s="65"/>
      <c r="BW172" s="65"/>
      <c r="BX172" s="65"/>
      <c r="BY172" s="65"/>
      <c r="BZ172" s="65"/>
      <c r="CA172" s="65"/>
      <c r="CB172" s="65"/>
      <c r="CC172" s="65"/>
      <c r="CD172" s="65"/>
      <c r="CE172" s="65"/>
      <c r="CF172" s="65"/>
      <c r="CG172" s="65"/>
      <c r="CH172" s="65"/>
      <c r="CI172" s="65"/>
      <c r="CJ172" s="65"/>
      <c r="CK172" s="65"/>
      <c r="CL172" s="65"/>
      <c r="CM172" s="65"/>
      <c r="CN172" s="65"/>
      <c r="CO172" s="65"/>
      <c r="CP172" s="65"/>
      <c r="CQ172" s="65"/>
      <c r="CR172" s="65"/>
      <c r="CS172" s="65"/>
      <c r="CT172" s="65"/>
      <c r="CU172" s="65"/>
      <c r="CV172" s="65"/>
      <c r="CW172" s="65"/>
      <c r="CX172" s="65"/>
      <c r="CY172" s="65"/>
      <c r="CZ172" s="65"/>
      <c r="DA172" s="65"/>
      <c r="DB172" s="65"/>
      <c r="DC172" s="65"/>
      <c r="DD172" s="65"/>
      <c r="DE172" s="65"/>
      <c r="DF172" s="65"/>
      <c r="DG172" s="65"/>
      <c r="DH172" s="65"/>
      <c r="DI172" s="65"/>
      <c r="DJ172" s="65"/>
      <c r="DK172" s="65"/>
      <c r="DL172" s="65"/>
      <c r="DM172" s="65"/>
      <c r="DN172" s="65"/>
      <c r="DO172" s="65"/>
      <c r="DP172" s="65"/>
      <c r="DQ172" s="65"/>
      <c r="DR172" s="65"/>
      <c r="DS172" s="65"/>
      <c r="DT172" s="65"/>
      <c r="DU172" s="65"/>
      <c r="DV172" s="65"/>
      <c r="DW172" s="65"/>
      <c r="DX172" s="65"/>
      <c r="DY172" s="65"/>
      <c r="DZ172" s="65"/>
      <c r="EA172" s="65"/>
      <c r="EB172" s="65"/>
      <c r="EC172" s="65"/>
      <c r="ED172" s="65"/>
      <c r="EE172" s="65"/>
      <c r="EF172" s="65"/>
      <c r="EG172" s="65"/>
      <c r="EH172" s="65"/>
      <c r="EI172" s="65"/>
      <c r="EJ172" s="65"/>
      <c r="EK172" s="65"/>
      <c r="EL172" s="65"/>
      <c r="EM172" s="65"/>
      <c r="EN172" s="65"/>
      <c r="EO172" s="65"/>
      <c r="EP172" s="65"/>
      <c r="EQ172" s="65"/>
      <c r="ER172" s="65"/>
      <c r="ES172" s="65"/>
      <c r="ET172" s="65"/>
      <c r="EU172" s="65"/>
      <c r="EV172" s="65"/>
      <c r="EW172" s="65"/>
      <c r="EX172" s="65"/>
      <c r="EY172" s="65"/>
      <c r="EZ172" s="65"/>
      <c r="FA172" s="65"/>
      <c r="FB172" s="65"/>
      <c r="FC172" s="65"/>
      <c r="FD172" s="65"/>
      <c r="FE172" s="65"/>
      <c r="FF172" s="65"/>
      <c r="FG172" s="65"/>
      <c r="FH172" s="65"/>
      <c r="FI172" s="65"/>
      <c r="FJ172" s="65"/>
      <c r="FK172" s="65"/>
      <c r="FL172" s="65"/>
      <c r="FM172" s="65"/>
      <c r="FN172" s="65"/>
      <c r="FO172" s="65"/>
      <c r="FP172" s="65"/>
      <c r="FQ172" s="65"/>
      <c r="FR172" s="65"/>
      <c r="FS172" s="65"/>
      <c r="FT172" s="65"/>
      <c r="FU172" s="65"/>
    </row>
    <row r="173" spans="1:177" s="1" customFormat="1">
      <c r="B173" s="5"/>
      <c r="C173" s="5"/>
      <c r="D173" s="5"/>
      <c r="E173" s="5"/>
      <c r="F173" s="5"/>
      <c r="G173" s="5"/>
      <c r="H173" s="5"/>
      <c r="I173" s="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  <c r="AM173" s="65"/>
      <c r="AN173" s="65"/>
      <c r="AO173" s="65"/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  <c r="AZ173" s="65"/>
      <c r="BA173" s="65"/>
      <c r="BB173" s="65"/>
      <c r="BC173" s="65"/>
      <c r="BD173" s="65"/>
      <c r="BE173" s="65"/>
      <c r="BF173" s="65"/>
      <c r="BG173" s="65"/>
      <c r="BH173" s="65"/>
      <c r="BI173" s="65"/>
      <c r="BJ173" s="65"/>
      <c r="BK173" s="65"/>
      <c r="BL173" s="65"/>
      <c r="BM173" s="65"/>
      <c r="BN173" s="65"/>
      <c r="BO173" s="65"/>
      <c r="BP173" s="65"/>
      <c r="BQ173" s="65"/>
      <c r="BR173" s="65"/>
      <c r="BS173" s="65"/>
      <c r="BT173" s="65"/>
      <c r="BU173" s="65"/>
      <c r="BV173" s="65"/>
      <c r="BW173" s="65"/>
      <c r="BX173" s="65"/>
      <c r="BY173" s="65"/>
      <c r="BZ173" s="65"/>
      <c r="CA173" s="65"/>
      <c r="CB173" s="65"/>
      <c r="CC173" s="65"/>
      <c r="CD173" s="65"/>
      <c r="CE173" s="65"/>
      <c r="CF173" s="65"/>
      <c r="CG173" s="65"/>
      <c r="CH173" s="65"/>
      <c r="CI173" s="65"/>
      <c r="CJ173" s="65"/>
      <c r="CK173" s="65"/>
      <c r="CL173" s="65"/>
      <c r="CM173" s="65"/>
      <c r="CN173" s="65"/>
      <c r="CO173" s="65"/>
      <c r="CP173" s="65"/>
      <c r="CQ173" s="65"/>
      <c r="CR173" s="65"/>
      <c r="CS173" s="65"/>
      <c r="CT173" s="65"/>
      <c r="CU173" s="65"/>
      <c r="CV173" s="65"/>
      <c r="CW173" s="65"/>
      <c r="CX173" s="65"/>
      <c r="CY173" s="65"/>
      <c r="CZ173" s="65"/>
      <c r="DA173" s="65"/>
      <c r="DB173" s="65"/>
      <c r="DC173" s="65"/>
      <c r="DD173" s="65"/>
      <c r="DE173" s="65"/>
      <c r="DF173" s="65"/>
      <c r="DG173" s="65"/>
      <c r="DH173" s="65"/>
      <c r="DI173" s="65"/>
      <c r="DJ173" s="65"/>
      <c r="DK173" s="65"/>
      <c r="DL173" s="65"/>
      <c r="DM173" s="65"/>
      <c r="DN173" s="65"/>
      <c r="DO173" s="65"/>
      <c r="DP173" s="65"/>
      <c r="DQ173" s="65"/>
      <c r="DR173" s="65"/>
      <c r="DS173" s="65"/>
      <c r="DT173" s="65"/>
      <c r="DU173" s="65"/>
      <c r="DV173" s="65"/>
      <c r="DW173" s="65"/>
      <c r="DX173" s="65"/>
      <c r="DY173" s="65"/>
      <c r="DZ173" s="65"/>
      <c r="EA173" s="65"/>
      <c r="EB173" s="65"/>
      <c r="EC173" s="65"/>
      <c r="ED173" s="65"/>
      <c r="EE173" s="65"/>
      <c r="EF173" s="65"/>
      <c r="EG173" s="65"/>
      <c r="EH173" s="65"/>
      <c r="EI173" s="65"/>
      <c r="EJ173" s="65"/>
      <c r="EK173" s="65"/>
      <c r="EL173" s="65"/>
      <c r="EM173" s="65"/>
      <c r="EN173" s="65"/>
      <c r="EO173" s="65"/>
      <c r="EP173" s="65"/>
      <c r="EQ173" s="65"/>
      <c r="ER173" s="65"/>
      <c r="ES173" s="65"/>
      <c r="ET173" s="65"/>
      <c r="EU173" s="65"/>
      <c r="EV173" s="65"/>
      <c r="EW173" s="65"/>
      <c r="EX173" s="65"/>
      <c r="EY173" s="65"/>
      <c r="EZ173" s="65"/>
      <c r="FA173" s="65"/>
      <c r="FB173" s="65"/>
      <c r="FC173" s="65"/>
      <c r="FD173" s="65"/>
      <c r="FE173" s="65"/>
      <c r="FF173" s="65"/>
      <c r="FG173" s="65"/>
      <c r="FH173" s="65"/>
      <c r="FI173" s="65"/>
      <c r="FJ173" s="65"/>
      <c r="FK173" s="65"/>
      <c r="FL173" s="65"/>
      <c r="FM173" s="65"/>
      <c r="FN173" s="65"/>
      <c r="FO173" s="65"/>
      <c r="FP173" s="65"/>
      <c r="FQ173" s="65"/>
      <c r="FR173" s="65"/>
      <c r="FS173" s="65"/>
      <c r="FT173" s="65"/>
      <c r="FU173" s="65"/>
    </row>
    <row r="174" spans="1:177" s="1" customFormat="1">
      <c r="B174" s="5"/>
      <c r="C174" s="5"/>
      <c r="D174" s="5"/>
      <c r="E174" s="5"/>
      <c r="F174" s="5"/>
      <c r="G174" s="5"/>
      <c r="H174" s="5"/>
      <c r="I174" s="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  <c r="AM174" s="65"/>
      <c r="AN174" s="65"/>
      <c r="AO174" s="65"/>
      <c r="AP174" s="65"/>
      <c r="AQ174" s="65"/>
      <c r="AR174" s="65"/>
      <c r="AS174" s="65"/>
      <c r="AT174" s="65"/>
      <c r="AU174" s="65"/>
      <c r="AV174" s="65"/>
      <c r="AW174" s="65"/>
      <c r="AX174" s="65"/>
      <c r="AY174" s="65"/>
      <c r="AZ174" s="65"/>
      <c r="BA174" s="65"/>
      <c r="BB174" s="65"/>
      <c r="BC174" s="65"/>
      <c r="BD174" s="65"/>
      <c r="BE174" s="65"/>
      <c r="BF174" s="65"/>
      <c r="BG174" s="65"/>
      <c r="BH174" s="65"/>
      <c r="BI174" s="65"/>
      <c r="BJ174" s="65"/>
      <c r="BK174" s="65"/>
      <c r="BL174" s="65"/>
      <c r="BM174" s="65"/>
      <c r="BN174" s="65"/>
      <c r="BO174" s="65"/>
      <c r="BP174" s="65"/>
      <c r="BQ174" s="65"/>
      <c r="BR174" s="65"/>
      <c r="BS174" s="65"/>
      <c r="BT174" s="65"/>
      <c r="BU174" s="65"/>
      <c r="BV174" s="65"/>
      <c r="BW174" s="65"/>
      <c r="BX174" s="65"/>
      <c r="BY174" s="65"/>
      <c r="BZ174" s="65"/>
      <c r="CA174" s="65"/>
      <c r="CB174" s="65"/>
      <c r="CC174" s="65"/>
      <c r="CD174" s="65"/>
      <c r="CE174" s="65"/>
      <c r="CF174" s="65"/>
      <c r="CG174" s="65"/>
      <c r="CH174" s="65"/>
      <c r="CI174" s="65"/>
      <c r="CJ174" s="65"/>
      <c r="CK174" s="65"/>
      <c r="CL174" s="65"/>
      <c r="CM174" s="65"/>
      <c r="CN174" s="65"/>
      <c r="CO174" s="65"/>
      <c r="CP174" s="65"/>
      <c r="CQ174" s="65"/>
      <c r="CR174" s="65"/>
      <c r="CS174" s="65"/>
      <c r="CT174" s="65"/>
      <c r="CU174" s="65"/>
      <c r="CV174" s="65"/>
      <c r="CW174" s="65"/>
      <c r="CX174" s="65"/>
      <c r="CY174" s="65"/>
      <c r="CZ174" s="65"/>
      <c r="DA174" s="65"/>
      <c r="DB174" s="65"/>
      <c r="DC174" s="65"/>
      <c r="DD174" s="65"/>
      <c r="DE174" s="65"/>
      <c r="DF174" s="65"/>
      <c r="DG174" s="65"/>
      <c r="DH174" s="65"/>
      <c r="DI174" s="65"/>
      <c r="DJ174" s="65"/>
      <c r="DK174" s="65"/>
      <c r="DL174" s="65"/>
      <c r="DM174" s="65"/>
      <c r="DN174" s="65"/>
      <c r="DO174" s="65"/>
      <c r="DP174" s="65"/>
      <c r="DQ174" s="65"/>
      <c r="DR174" s="65"/>
      <c r="DS174" s="65"/>
      <c r="DT174" s="65"/>
      <c r="DU174" s="65"/>
      <c r="DV174" s="65"/>
      <c r="DW174" s="65"/>
      <c r="DX174" s="65"/>
      <c r="DY174" s="65"/>
      <c r="DZ174" s="65"/>
      <c r="EA174" s="65"/>
      <c r="EB174" s="65"/>
      <c r="EC174" s="65"/>
      <c r="ED174" s="65"/>
      <c r="EE174" s="65"/>
      <c r="EF174" s="65"/>
      <c r="EG174" s="65"/>
      <c r="EH174" s="65"/>
      <c r="EI174" s="65"/>
      <c r="EJ174" s="65"/>
      <c r="EK174" s="65"/>
      <c r="EL174" s="65"/>
      <c r="EM174" s="65"/>
      <c r="EN174" s="65"/>
      <c r="EO174" s="65"/>
      <c r="EP174" s="65"/>
      <c r="EQ174" s="65"/>
      <c r="ER174" s="65"/>
      <c r="ES174" s="65"/>
      <c r="ET174" s="65"/>
      <c r="EU174" s="65"/>
      <c r="EV174" s="65"/>
      <c r="EW174" s="65"/>
      <c r="EX174" s="65"/>
      <c r="EY174" s="65"/>
      <c r="EZ174" s="65"/>
      <c r="FA174" s="65"/>
      <c r="FB174" s="65"/>
      <c r="FC174" s="65"/>
      <c r="FD174" s="65"/>
      <c r="FE174" s="65"/>
      <c r="FF174" s="65"/>
      <c r="FG174" s="65"/>
      <c r="FH174" s="65"/>
      <c r="FI174" s="65"/>
      <c r="FJ174" s="65"/>
      <c r="FK174" s="65"/>
      <c r="FL174" s="65"/>
      <c r="FM174" s="65"/>
      <c r="FN174" s="65"/>
      <c r="FO174" s="65"/>
      <c r="FP174" s="65"/>
      <c r="FQ174" s="65"/>
      <c r="FR174" s="65"/>
      <c r="FS174" s="65"/>
      <c r="FT174" s="65"/>
      <c r="FU174" s="65"/>
    </row>
    <row r="175" spans="1:177" s="1" customFormat="1">
      <c r="B175" s="5"/>
      <c r="C175" s="5"/>
      <c r="D175" s="5"/>
      <c r="E175" s="5"/>
      <c r="F175" s="5"/>
      <c r="G175" s="5"/>
      <c r="H175" s="5"/>
      <c r="I175" s="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  <c r="AA175" s="65"/>
      <c r="AB175" s="65"/>
      <c r="AC175" s="65"/>
      <c r="AD175" s="65"/>
      <c r="AE175" s="65"/>
      <c r="AF175" s="65"/>
      <c r="AG175" s="65"/>
      <c r="AH175" s="65"/>
      <c r="AI175" s="65"/>
      <c r="AJ175" s="65"/>
      <c r="AK175" s="65"/>
      <c r="AL175" s="65"/>
      <c r="AM175" s="65"/>
      <c r="AN175" s="65"/>
      <c r="AO175" s="65"/>
      <c r="AP175" s="65"/>
      <c r="AQ175" s="65"/>
      <c r="AR175" s="65"/>
      <c r="AS175" s="65"/>
      <c r="AT175" s="65"/>
      <c r="AU175" s="65"/>
      <c r="AV175" s="65"/>
      <c r="AW175" s="65"/>
      <c r="AX175" s="65"/>
      <c r="AY175" s="65"/>
      <c r="AZ175" s="65"/>
      <c r="BA175" s="65"/>
      <c r="BB175" s="65"/>
      <c r="BC175" s="65"/>
      <c r="BD175" s="65"/>
      <c r="BE175" s="65"/>
      <c r="BF175" s="65"/>
      <c r="BG175" s="65"/>
      <c r="BH175" s="65"/>
      <c r="BI175" s="65"/>
      <c r="BJ175" s="65"/>
      <c r="BK175" s="65"/>
      <c r="BL175" s="65"/>
      <c r="BM175" s="65"/>
      <c r="BN175" s="65"/>
      <c r="BO175" s="65"/>
      <c r="BP175" s="65"/>
      <c r="BQ175" s="65"/>
      <c r="BR175" s="65"/>
      <c r="BS175" s="65"/>
      <c r="BT175" s="65"/>
      <c r="BU175" s="65"/>
      <c r="BV175" s="65"/>
      <c r="BW175" s="65"/>
      <c r="BX175" s="65"/>
      <c r="BY175" s="65"/>
      <c r="BZ175" s="65"/>
      <c r="CA175" s="65"/>
      <c r="CB175" s="65"/>
      <c r="CC175" s="65"/>
      <c r="CD175" s="65"/>
      <c r="CE175" s="65"/>
      <c r="CF175" s="65"/>
      <c r="CG175" s="65"/>
      <c r="CH175" s="65"/>
      <c r="CI175" s="65"/>
      <c r="CJ175" s="65"/>
      <c r="CK175" s="65"/>
      <c r="CL175" s="65"/>
      <c r="CM175" s="65"/>
      <c r="CN175" s="65"/>
      <c r="CO175" s="65"/>
      <c r="CP175" s="65"/>
      <c r="CQ175" s="65"/>
      <c r="CR175" s="65"/>
      <c r="CS175" s="65"/>
      <c r="CT175" s="65"/>
      <c r="CU175" s="65"/>
      <c r="CV175" s="65"/>
      <c r="CW175" s="65"/>
      <c r="CX175" s="65"/>
      <c r="CY175" s="65"/>
      <c r="CZ175" s="65"/>
      <c r="DA175" s="65"/>
      <c r="DB175" s="65"/>
      <c r="DC175" s="65"/>
      <c r="DD175" s="65"/>
      <c r="DE175" s="65"/>
      <c r="DF175" s="65"/>
      <c r="DG175" s="65"/>
      <c r="DH175" s="65"/>
      <c r="DI175" s="65"/>
      <c r="DJ175" s="65"/>
      <c r="DK175" s="65"/>
      <c r="DL175" s="65"/>
      <c r="DM175" s="65"/>
      <c r="DN175" s="65"/>
      <c r="DO175" s="65"/>
      <c r="DP175" s="65"/>
      <c r="DQ175" s="65"/>
      <c r="DR175" s="65"/>
      <c r="DS175" s="65"/>
      <c r="DT175" s="65"/>
      <c r="DU175" s="65"/>
      <c r="DV175" s="65"/>
      <c r="DW175" s="65"/>
      <c r="DX175" s="65"/>
      <c r="DY175" s="65"/>
      <c r="DZ175" s="65"/>
      <c r="EA175" s="65"/>
      <c r="EB175" s="65"/>
      <c r="EC175" s="65"/>
      <c r="ED175" s="65"/>
      <c r="EE175" s="65"/>
      <c r="EF175" s="65"/>
      <c r="EG175" s="65"/>
      <c r="EH175" s="65"/>
      <c r="EI175" s="65"/>
      <c r="EJ175" s="65"/>
      <c r="EK175" s="65"/>
      <c r="EL175" s="65"/>
      <c r="EM175" s="65"/>
      <c r="EN175" s="65"/>
      <c r="EO175" s="65"/>
      <c r="EP175" s="65"/>
      <c r="EQ175" s="65"/>
      <c r="ER175" s="65"/>
      <c r="ES175" s="65"/>
      <c r="ET175" s="65"/>
      <c r="EU175" s="65"/>
      <c r="EV175" s="65"/>
      <c r="EW175" s="65"/>
      <c r="EX175" s="65"/>
      <c r="EY175" s="65"/>
      <c r="EZ175" s="65"/>
      <c r="FA175" s="65"/>
      <c r="FB175" s="65"/>
      <c r="FC175" s="65"/>
      <c r="FD175" s="65"/>
      <c r="FE175" s="65"/>
      <c r="FF175" s="65"/>
      <c r="FG175" s="65"/>
      <c r="FH175" s="65"/>
      <c r="FI175" s="65"/>
      <c r="FJ175" s="65"/>
      <c r="FK175" s="65"/>
      <c r="FL175" s="65"/>
      <c r="FM175" s="65"/>
      <c r="FN175" s="65"/>
      <c r="FO175" s="65"/>
      <c r="FP175" s="65"/>
      <c r="FQ175" s="65"/>
      <c r="FR175" s="65"/>
      <c r="FS175" s="65"/>
      <c r="FT175" s="65"/>
      <c r="FU175" s="65"/>
    </row>
    <row r="176" spans="1:177" s="1" customFormat="1">
      <c r="B176" s="5"/>
      <c r="C176" s="5"/>
      <c r="D176" s="5"/>
      <c r="E176" s="5"/>
      <c r="F176" s="5"/>
      <c r="G176" s="5"/>
      <c r="H176" s="5"/>
      <c r="I176" s="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/>
      <c r="Z176" s="65"/>
      <c r="AA176" s="65"/>
      <c r="AB176" s="65"/>
      <c r="AC176" s="65"/>
      <c r="AD176" s="65"/>
      <c r="AE176" s="65"/>
      <c r="AF176" s="65"/>
      <c r="AG176" s="65"/>
      <c r="AH176" s="65"/>
      <c r="AI176" s="65"/>
      <c r="AJ176" s="65"/>
      <c r="AK176" s="65"/>
      <c r="AL176" s="65"/>
      <c r="AM176" s="65"/>
      <c r="AN176" s="65"/>
      <c r="AO176" s="65"/>
      <c r="AP176" s="65"/>
      <c r="AQ176" s="65"/>
      <c r="AR176" s="65"/>
      <c r="AS176" s="65"/>
      <c r="AT176" s="65"/>
      <c r="AU176" s="65"/>
      <c r="AV176" s="65"/>
      <c r="AW176" s="65"/>
      <c r="AX176" s="65"/>
      <c r="AY176" s="65"/>
      <c r="AZ176" s="65"/>
      <c r="BA176" s="65"/>
      <c r="BB176" s="65"/>
      <c r="BC176" s="65"/>
      <c r="BD176" s="65"/>
      <c r="BE176" s="65"/>
      <c r="BF176" s="65"/>
      <c r="BG176" s="65"/>
      <c r="BH176" s="65"/>
      <c r="BI176" s="65"/>
      <c r="BJ176" s="65"/>
      <c r="BK176" s="65"/>
      <c r="BL176" s="65"/>
      <c r="BM176" s="65"/>
      <c r="BN176" s="65"/>
      <c r="BO176" s="65"/>
      <c r="BP176" s="65"/>
      <c r="BQ176" s="65"/>
      <c r="BR176" s="65"/>
      <c r="BS176" s="65"/>
      <c r="BT176" s="65"/>
      <c r="BU176" s="65"/>
      <c r="BV176" s="65"/>
      <c r="BW176" s="65"/>
      <c r="BX176" s="65"/>
      <c r="BY176" s="65"/>
      <c r="BZ176" s="65"/>
      <c r="CA176" s="65"/>
      <c r="CB176" s="65"/>
      <c r="CC176" s="65"/>
      <c r="CD176" s="65"/>
      <c r="CE176" s="65"/>
      <c r="CF176" s="65"/>
      <c r="CG176" s="65"/>
      <c r="CH176" s="65"/>
      <c r="CI176" s="65"/>
      <c r="CJ176" s="65"/>
      <c r="CK176" s="65"/>
      <c r="CL176" s="65"/>
      <c r="CM176" s="65"/>
      <c r="CN176" s="65"/>
      <c r="CO176" s="65"/>
      <c r="CP176" s="65"/>
      <c r="CQ176" s="65"/>
      <c r="CR176" s="65"/>
      <c r="CS176" s="65"/>
      <c r="CT176" s="65"/>
      <c r="CU176" s="65"/>
      <c r="CV176" s="65"/>
      <c r="CW176" s="65"/>
      <c r="CX176" s="65"/>
      <c r="CY176" s="65"/>
      <c r="CZ176" s="65"/>
      <c r="DA176" s="65"/>
      <c r="DB176" s="65"/>
      <c r="DC176" s="65"/>
      <c r="DD176" s="65"/>
      <c r="DE176" s="65"/>
      <c r="DF176" s="65"/>
      <c r="DG176" s="65"/>
      <c r="DH176" s="65"/>
      <c r="DI176" s="65"/>
      <c r="DJ176" s="65"/>
      <c r="DK176" s="65"/>
      <c r="DL176" s="65"/>
      <c r="DM176" s="65"/>
      <c r="DN176" s="65"/>
      <c r="DO176" s="65"/>
      <c r="DP176" s="65"/>
      <c r="DQ176" s="65"/>
      <c r="DR176" s="65"/>
      <c r="DS176" s="65"/>
      <c r="DT176" s="65"/>
      <c r="DU176" s="65"/>
      <c r="DV176" s="65"/>
      <c r="DW176" s="65"/>
      <c r="DX176" s="65"/>
      <c r="DY176" s="65"/>
      <c r="DZ176" s="65"/>
      <c r="EA176" s="65"/>
      <c r="EB176" s="65"/>
      <c r="EC176" s="65"/>
      <c r="ED176" s="65"/>
      <c r="EE176" s="65"/>
      <c r="EF176" s="65"/>
      <c r="EG176" s="65"/>
      <c r="EH176" s="65"/>
      <c r="EI176" s="65"/>
      <c r="EJ176" s="65"/>
      <c r="EK176" s="65"/>
      <c r="EL176" s="65"/>
      <c r="EM176" s="65"/>
      <c r="EN176" s="65"/>
      <c r="EO176" s="65"/>
      <c r="EP176" s="65"/>
      <c r="EQ176" s="65"/>
      <c r="ER176" s="65"/>
      <c r="ES176" s="65"/>
      <c r="ET176" s="65"/>
      <c r="EU176" s="65"/>
      <c r="EV176" s="65"/>
      <c r="EW176" s="65"/>
      <c r="EX176" s="65"/>
      <c r="EY176" s="65"/>
      <c r="EZ176" s="65"/>
      <c r="FA176" s="65"/>
      <c r="FB176" s="65"/>
      <c r="FC176" s="65"/>
      <c r="FD176" s="65"/>
      <c r="FE176" s="65"/>
      <c r="FF176" s="65"/>
      <c r="FG176" s="65"/>
      <c r="FH176" s="65"/>
      <c r="FI176" s="65"/>
      <c r="FJ176" s="65"/>
      <c r="FK176" s="65"/>
      <c r="FL176" s="65"/>
      <c r="FM176" s="65"/>
      <c r="FN176" s="65"/>
      <c r="FO176" s="65"/>
      <c r="FP176" s="65"/>
      <c r="FQ176" s="65"/>
      <c r="FR176" s="65"/>
      <c r="FS176" s="65"/>
      <c r="FT176" s="65"/>
      <c r="FU176" s="65"/>
    </row>
    <row r="177" spans="2:177" s="1" customFormat="1">
      <c r="B177" s="5"/>
      <c r="C177" s="5"/>
      <c r="D177" s="5"/>
      <c r="E177" s="5"/>
      <c r="F177" s="5"/>
      <c r="G177" s="5"/>
      <c r="H177" s="5"/>
      <c r="I177" s="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  <c r="AA177" s="65"/>
      <c r="AB177" s="65"/>
      <c r="AC177" s="65"/>
      <c r="AD177" s="65"/>
      <c r="AE177" s="65"/>
      <c r="AF177" s="65"/>
      <c r="AG177" s="65"/>
      <c r="AH177" s="65"/>
      <c r="AI177" s="65"/>
      <c r="AJ177" s="65"/>
      <c r="AK177" s="65"/>
      <c r="AL177" s="65"/>
      <c r="AM177" s="65"/>
      <c r="AN177" s="65"/>
      <c r="AO177" s="65"/>
      <c r="AP177" s="65"/>
      <c r="AQ177" s="65"/>
      <c r="AR177" s="65"/>
      <c r="AS177" s="65"/>
      <c r="AT177" s="65"/>
      <c r="AU177" s="65"/>
      <c r="AV177" s="65"/>
      <c r="AW177" s="65"/>
      <c r="AX177" s="65"/>
      <c r="AY177" s="65"/>
      <c r="AZ177" s="65"/>
      <c r="BA177" s="65"/>
      <c r="BB177" s="65"/>
      <c r="BC177" s="65"/>
      <c r="BD177" s="65"/>
      <c r="BE177" s="65"/>
      <c r="BF177" s="65"/>
      <c r="BG177" s="65"/>
      <c r="BH177" s="65"/>
      <c r="BI177" s="65"/>
      <c r="BJ177" s="65"/>
      <c r="BK177" s="65"/>
      <c r="BL177" s="65"/>
      <c r="BM177" s="65"/>
      <c r="BN177" s="65"/>
      <c r="BO177" s="65"/>
      <c r="BP177" s="65"/>
      <c r="BQ177" s="65"/>
      <c r="BR177" s="65"/>
      <c r="BS177" s="65"/>
      <c r="BT177" s="65"/>
      <c r="BU177" s="65"/>
      <c r="BV177" s="65"/>
      <c r="BW177" s="65"/>
      <c r="BX177" s="65"/>
      <c r="BY177" s="65"/>
      <c r="BZ177" s="65"/>
      <c r="CA177" s="65"/>
      <c r="CB177" s="65"/>
      <c r="CC177" s="65"/>
      <c r="CD177" s="65"/>
      <c r="CE177" s="65"/>
      <c r="CF177" s="65"/>
      <c r="CG177" s="65"/>
      <c r="CH177" s="65"/>
      <c r="CI177" s="65"/>
      <c r="CJ177" s="65"/>
      <c r="CK177" s="65"/>
      <c r="CL177" s="65"/>
      <c r="CM177" s="65"/>
      <c r="CN177" s="65"/>
      <c r="CO177" s="65"/>
      <c r="CP177" s="65"/>
      <c r="CQ177" s="65"/>
      <c r="CR177" s="65"/>
      <c r="CS177" s="65"/>
      <c r="CT177" s="65"/>
      <c r="CU177" s="65"/>
      <c r="CV177" s="65"/>
      <c r="CW177" s="65"/>
      <c r="CX177" s="65"/>
      <c r="CY177" s="65"/>
      <c r="CZ177" s="65"/>
      <c r="DA177" s="65"/>
      <c r="DB177" s="65"/>
      <c r="DC177" s="65"/>
      <c r="DD177" s="65"/>
      <c r="DE177" s="65"/>
      <c r="DF177" s="65"/>
      <c r="DG177" s="65"/>
      <c r="DH177" s="65"/>
      <c r="DI177" s="65"/>
      <c r="DJ177" s="65"/>
      <c r="DK177" s="65"/>
      <c r="DL177" s="65"/>
      <c r="DM177" s="65"/>
      <c r="DN177" s="65"/>
      <c r="DO177" s="65"/>
      <c r="DP177" s="65"/>
      <c r="DQ177" s="65"/>
      <c r="DR177" s="65"/>
      <c r="DS177" s="65"/>
      <c r="DT177" s="65"/>
      <c r="DU177" s="65"/>
      <c r="DV177" s="65"/>
      <c r="DW177" s="65"/>
      <c r="DX177" s="65"/>
      <c r="DY177" s="65"/>
      <c r="DZ177" s="65"/>
      <c r="EA177" s="65"/>
      <c r="EB177" s="65"/>
      <c r="EC177" s="65"/>
      <c r="ED177" s="65"/>
      <c r="EE177" s="65"/>
      <c r="EF177" s="65"/>
      <c r="EG177" s="65"/>
      <c r="EH177" s="65"/>
      <c r="EI177" s="65"/>
      <c r="EJ177" s="65"/>
      <c r="EK177" s="65"/>
      <c r="EL177" s="65"/>
      <c r="EM177" s="65"/>
      <c r="EN177" s="65"/>
      <c r="EO177" s="65"/>
      <c r="EP177" s="65"/>
      <c r="EQ177" s="65"/>
      <c r="ER177" s="65"/>
      <c r="ES177" s="65"/>
      <c r="ET177" s="65"/>
      <c r="EU177" s="65"/>
      <c r="EV177" s="65"/>
      <c r="EW177" s="65"/>
      <c r="EX177" s="65"/>
      <c r="EY177" s="65"/>
      <c r="EZ177" s="65"/>
      <c r="FA177" s="65"/>
      <c r="FB177" s="65"/>
      <c r="FC177" s="65"/>
      <c r="FD177" s="65"/>
      <c r="FE177" s="65"/>
      <c r="FF177" s="65"/>
      <c r="FG177" s="65"/>
      <c r="FH177" s="65"/>
      <c r="FI177" s="65"/>
      <c r="FJ177" s="65"/>
      <c r="FK177" s="65"/>
      <c r="FL177" s="65"/>
      <c r="FM177" s="65"/>
      <c r="FN177" s="65"/>
      <c r="FO177" s="65"/>
      <c r="FP177" s="65"/>
      <c r="FQ177" s="65"/>
      <c r="FR177" s="65"/>
      <c r="FS177" s="65"/>
      <c r="FT177" s="65"/>
      <c r="FU177" s="65"/>
    </row>
    <row r="178" spans="2:177" s="1" customFormat="1" ht="19.149999999999999" customHeight="1">
      <c r="B178" s="5"/>
      <c r="C178" s="5"/>
      <c r="D178" s="5"/>
      <c r="E178" s="5"/>
      <c r="F178" s="5"/>
      <c r="G178" s="5"/>
      <c r="H178" s="5"/>
      <c r="I178" s="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  <c r="Z178" s="65"/>
      <c r="AA178" s="65"/>
      <c r="AB178" s="65"/>
      <c r="AC178" s="65"/>
      <c r="AD178" s="65"/>
      <c r="AE178" s="65"/>
      <c r="AF178" s="65"/>
      <c r="AG178" s="65"/>
      <c r="AH178" s="65"/>
      <c r="AI178" s="65"/>
      <c r="AJ178" s="65"/>
      <c r="AK178" s="65"/>
      <c r="AL178" s="65"/>
      <c r="AM178" s="65"/>
      <c r="AN178" s="65"/>
      <c r="AO178" s="65"/>
      <c r="AP178" s="65"/>
      <c r="AQ178" s="65"/>
      <c r="AR178" s="65"/>
      <c r="AS178" s="65"/>
      <c r="AT178" s="65"/>
      <c r="AU178" s="65"/>
      <c r="AV178" s="65"/>
      <c r="AW178" s="65"/>
      <c r="AX178" s="65"/>
      <c r="AY178" s="65"/>
      <c r="AZ178" s="65"/>
      <c r="BA178" s="65"/>
      <c r="BB178" s="65"/>
      <c r="BC178" s="65"/>
      <c r="BD178" s="65"/>
      <c r="BE178" s="65"/>
      <c r="BF178" s="65"/>
      <c r="BG178" s="65"/>
      <c r="BH178" s="65"/>
      <c r="BI178" s="65"/>
      <c r="BJ178" s="65"/>
      <c r="BK178" s="65"/>
      <c r="BL178" s="65"/>
      <c r="BM178" s="65"/>
      <c r="BN178" s="65"/>
      <c r="BO178" s="65"/>
      <c r="BP178" s="65"/>
      <c r="BQ178" s="65"/>
      <c r="BR178" s="65"/>
      <c r="BS178" s="65"/>
      <c r="BT178" s="65"/>
      <c r="BU178" s="65"/>
      <c r="BV178" s="65"/>
      <c r="BW178" s="65"/>
      <c r="BX178" s="65"/>
      <c r="BY178" s="65"/>
      <c r="BZ178" s="65"/>
      <c r="CA178" s="65"/>
      <c r="CB178" s="65"/>
      <c r="CC178" s="65"/>
      <c r="CD178" s="65"/>
      <c r="CE178" s="65"/>
      <c r="CF178" s="65"/>
      <c r="CG178" s="65"/>
      <c r="CH178" s="65"/>
      <c r="CI178" s="65"/>
      <c r="CJ178" s="65"/>
      <c r="CK178" s="65"/>
      <c r="CL178" s="65"/>
      <c r="CM178" s="65"/>
      <c r="CN178" s="65"/>
      <c r="CO178" s="65"/>
      <c r="CP178" s="65"/>
      <c r="CQ178" s="65"/>
      <c r="CR178" s="65"/>
      <c r="CS178" s="65"/>
      <c r="CT178" s="65"/>
      <c r="CU178" s="65"/>
      <c r="CV178" s="65"/>
      <c r="CW178" s="65"/>
      <c r="CX178" s="65"/>
      <c r="CY178" s="65"/>
      <c r="CZ178" s="65"/>
      <c r="DA178" s="65"/>
      <c r="DB178" s="65"/>
      <c r="DC178" s="65"/>
      <c r="DD178" s="65"/>
      <c r="DE178" s="65"/>
      <c r="DF178" s="65"/>
      <c r="DG178" s="65"/>
      <c r="DH178" s="65"/>
      <c r="DI178" s="65"/>
      <c r="DJ178" s="65"/>
      <c r="DK178" s="65"/>
      <c r="DL178" s="65"/>
      <c r="DM178" s="65"/>
      <c r="DN178" s="65"/>
      <c r="DO178" s="65"/>
      <c r="DP178" s="65"/>
      <c r="DQ178" s="65"/>
      <c r="DR178" s="65"/>
      <c r="DS178" s="65"/>
      <c r="DT178" s="65"/>
      <c r="DU178" s="65"/>
      <c r="DV178" s="65"/>
      <c r="DW178" s="65"/>
      <c r="DX178" s="65"/>
      <c r="DY178" s="65"/>
      <c r="DZ178" s="65"/>
      <c r="EA178" s="65"/>
      <c r="EB178" s="65"/>
      <c r="EC178" s="65"/>
      <c r="ED178" s="65"/>
      <c r="EE178" s="65"/>
      <c r="EF178" s="65"/>
      <c r="EG178" s="65"/>
      <c r="EH178" s="65"/>
      <c r="EI178" s="65"/>
      <c r="EJ178" s="65"/>
      <c r="EK178" s="65"/>
      <c r="EL178" s="65"/>
      <c r="EM178" s="65"/>
      <c r="EN178" s="65"/>
      <c r="EO178" s="65"/>
      <c r="EP178" s="65"/>
      <c r="EQ178" s="65"/>
      <c r="ER178" s="65"/>
      <c r="ES178" s="65"/>
      <c r="ET178" s="65"/>
      <c r="EU178" s="65"/>
      <c r="EV178" s="65"/>
      <c r="EW178" s="65"/>
      <c r="EX178" s="65"/>
      <c r="EY178" s="65"/>
      <c r="EZ178" s="65"/>
      <c r="FA178" s="65"/>
      <c r="FB178" s="65"/>
      <c r="FC178" s="65"/>
      <c r="FD178" s="65"/>
      <c r="FE178" s="65"/>
      <c r="FF178" s="65"/>
      <c r="FG178" s="65"/>
      <c r="FH178" s="65"/>
      <c r="FI178" s="65"/>
      <c r="FJ178" s="65"/>
      <c r="FK178" s="65"/>
      <c r="FL178" s="65"/>
      <c r="FM178" s="65"/>
      <c r="FN178" s="65"/>
      <c r="FO178" s="65"/>
      <c r="FP178" s="65"/>
      <c r="FQ178" s="65"/>
      <c r="FR178" s="65"/>
      <c r="FS178" s="65"/>
      <c r="FT178" s="65"/>
      <c r="FU178" s="65"/>
    </row>
    <row r="179" spans="2:177" s="2" customFormat="1">
      <c r="B179" s="5"/>
      <c r="C179" s="5"/>
      <c r="D179" s="5"/>
      <c r="E179" s="5"/>
      <c r="F179" s="5"/>
      <c r="G179" s="5"/>
      <c r="H179" s="5"/>
      <c r="I179" s="5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  <c r="AY179" s="64"/>
      <c r="AZ179" s="64"/>
      <c r="BA179" s="64"/>
      <c r="BB179" s="64"/>
      <c r="BC179" s="64"/>
      <c r="BD179" s="64"/>
      <c r="BE179" s="64"/>
      <c r="BF179" s="64"/>
      <c r="BG179" s="64"/>
      <c r="BH179" s="64"/>
      <c r="BI179" s="64"/>
      <c r="BJ179" s="64"/>
      <c r="BK179" s="64"/>
      <c r="BL179" s="64"/>
      <c r="BM179" s="64"/>
      <c r="BN179" s="64"/>
      <c r="BO179" s="64"/>
      <c r="BP179" s="64"/>
      <c r="BQ179" s="64"/>
      <c r="BR179" s="64"/>
      <c r="BS179" s="64"/>
      <c r="BT179" s="64"/>
      <c r="BU179" s="64"/>
      <c r="BV179" s="64"/>
      <c r="BW179" s="64"/>
      <c r="BX179" s="64"/>
      <c r="BY179" s="64"/>
      <c r="BZ179" s="64"/>
      <c r="CA179" s="64"/>
      <c r="CB179" s="64"/>
      <c r="CC179" s="64"/>
      <c r="CD179" s="64"/>
      <c r="CE179" s="64"/>
      <c r="CF179" s="64"/>
      <c r="CG179" s="64"/>
      <c r="CH179" s="64"/>
      <c r="CI179" s="64"/>
      <c r="CJ179" s="64"/>
      <c r="CK179" s="64"/>
      <c r="CL179" s="64"/>
      <c r="CM179" s="64"/>
      <c r="CN179" s="64"/>
      <c r="CO179" s="64"/>
      <c r="CP179" s="64"/>
      <c r="CQ179" s="64"/>
      <c r="CR179" s="64"/>
      <c r="CS179" s="64"/>
      <c r="CT179" s="64"/>
      <c r="CU179" s="64"/>
      <c r="CV179" s="64"/>
      <c r="CW179" s="64"/>
      <c r="CX179" s="64"/>
      <c r="CY179" s="64"/>
      <c r="CZ179" s="64"/>
      <c r="DA179" s="64"/>
      <c r="DB179" s="64"/>
      <c r="DC179" s="64"/>
      <c r="DD179" s="64"/>
      <c r="DE179" s="64"/>
      <c r="DF179" s="64"/>
      <c r="DG179" s="64"/>
      <c r="DH179" s="64"/>
      <c r="DI179" s="64"/>
      <c r="DJ179" s="64"/>
      <c r="DK179" s="64"/>
      <c r="DL179" s="64"/>
      <c r="DM179" s="64"/>
      <c r="DN179" s="64"/>
      <c r="DO179" s="64"/>
      <c r="DP179" s="64"/>
      <c r="DQ179" s="64"/>
      <c r="DR179" s="64"/>
      <c r="DS179" s="64"/>
      <c r="DT179" s="64"/>
      <c r="DU179" s="64"/>
      <c r="DV179" s="64"/>
      <c r="DW179" s="64"/>
      <c r="DX179" s="64"/>
      <c r="DY179" s="64"/>
      <c r="DZ179" s="64"/>
      <c r="EA179" s="64"/>
      <c r="EB179" s="64"/>
      <c r="EC179" s="64"/>
      <c r="ED179" s="64"/>
      <c r="EE179" s="64"/>
      <c r="EF179" s="64"/>
      <c r="EG179" s="64"/>
      <c r="EH179" s="64"/>
      <c r="EI179" s="64"/>
      <c r="EJ179" s="64"/>
      <c r="EK179" s="64"/>
      <c r="EL179" s="64"/>
      <c r="EM179" s="64"/>
      <c r="EN179" s="64"/>
      <c r="EO179" s="64"/>
      <c r="EP179" s="64"/>
      <c r="EQ179" s="64"/>
      <c r="ER179" s="64"/>
      <c r="ES179" s="64"/>
      <c r="ET179" s="64"/>
      <c r="EU179" s="64"/>
      <c r="EV179" s="64"/>
      <c r="EW179" s="64"/>
      <c r="EX179" s="64"/>
      <c r="EY179" s="64"/>
      <c r="EZ179" s="64"/>
      <c r="FA179" s="64"/>
      <c r="FB179" s="64"/>
      <c r="FC179" s="64"/>
      <c r="FD179" s="64"/>
      <c r="FE179" s="64"/>
      <c r="FF179" s="64"/>
      <c r="FG179" s="64"/>
      <c r="FH179" s="64"/>
      <c r="FI179" s="64"/>
      <c r="FJ179" s="64"/>
      <c r="FK179" s="64"/>
      <c r="FL179" s="64"/>
      <c r="FM179" s="64"/>
      <c r="FN179" s="64"/>
      <c r="FO179" s="64"/>
      <c r="FP179" s="64"/>
      <c r="FQ179" s="64"/>
      <c r="FR179" s="64"/>
      <c r="FS179" s="64"/>
      <c r="FT179" s="64"/>
      <c r="FU179" s="64"/>
    </row>
    <row r="180" spans="2:177" s="1" customFormat="1">
      <c r="B180" s="5"/>
      <c r="C180" s="5"/>
      <c r="D180" s="5"/>
      <c r="E180" s="5"/>
      <c r="F180" s="5"/>
      <c r="G180" s="5"/>
      <c r="H180" s="5"/>
      <c r="I180" s="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  <c r="Z180" s="65"/>
      <c r="AA180" s="65"/>
      <c r="AB180" s="65"/>
      <c r="AC180" s="65"/>
      <c r="AD180" s="65"/>
      <c r="AE180" s="65"/>
      <c r="AF180" s="65"/>
      <c r="AG180" s="65"/>
      <c r="AH180" s="65"/>
      <c r="AI180" s="65"/>
      <c r="AJ180" s="65"/>
      <c r="AK180" s="65"/>
      <c r="AL180" s="65"/>
      <c r="AM180" s="65"/>
      <c r="AN180" s="65"/>
      <c r="AO180" s="65"/>
      <c r="AP180" s="65"/>
      <c r="AQ180" s="65"/>
      <c r="AR180" s="65"/>
      <c r="AS180" s="65"/>
      <c r="AT180" s="65"/>
      <c r="AU180" s="65"/>
      <c r="AV180" s="65"/>
      <c r="AW180" s="65"/>
      <c r="AX180" s="65"/>
      <c r="AY180" s="65"/>
      <c r="AZ180" s="65"/>
      <c r="BA180" s="65"/>
      <c r="BB180" s="65"/>
      <c r="BC180" s="65"/>
      <c r="BD180" s="65"/>
      <c r="BE180" s="65"/>
      <c r="BF180" s="65"/>
      <c r="BG180" s="65"/>
      <c r="BH180" s="65"/>
      <c r="BI180" s="65"/>
      <c r="BJ180" s="65"/>
      <c r="BK180" s="65"/>
      <c r="BL180" s="65"/>
      <c r="BM180" s="65"/>
      <c r="BN180" s="65"/>
      <c r="BO180" s="65"/>
      <c r="BP180" s="65"/>
      <c r="BQ180" s="65"/>
      <c r="BR180" s="65"/>
      <c r="BS180" s="65"/>
      <c r="BT180" s="65"/>
      <c r="BU180" s="65"/>
      <c r="BV180" s="65"/>
      <c r="BW180" s="65"/>
      <c r="BX180" s="65"/>
      <c r="BY180" s="65"/>
      <c r="BZ180" s="65"/>
      <c r="CA180" s="65"/>
      <c r="CB180" s="65"/>
      <c r="CC180" s="65"/>
      <c r="CD180" s="65"/>
      <c r="CE180" s="65"/>
      <c r="CF180" s="65"/>
      <c r="CG180" s="65"/>
      <c r="CH180" s="65"/>
      <c r="CI180" s="65"/>
      <c r="CJ180" s="65"/>
      <c r="CK180" s="65"/>
      <c r="CL180" s="65"/>
      <c r="CM180" s="65"/>
      <c r="CN180" s="65"/>
      <c r="CO180" s="65"/>
      <c r="CP180" s="65"/>
      <c r="CQ180" s="65"/>
      <c r="CR180" s="65"/>
      <c r="CS180" s="65"/>
      <c r="CT180" s="65"/>
      <c r="CU180" s="65"/>
      <c r="CV180" s="65"/>
      <c r="CW180" s="65"/>
      <c r="CX180" s="65"/>
      <c r="CY180" s="65"/>
      <c r="CZ180" s="65"/>
      <c r="DA180" s="65"/>
      <c r="DB180" s="65"/>
      <c r="DC180" s="65"/>
      <c r="DD180" s="65"/>
      <c r="DE180" s="65"/>
      <c r="DF180" s="65"/>
      <c r="DG180" s="65"/>
      <c r="DH180" s="65"/>
      <c r="DI180" s="65"/>
      <c r="DJ180" s="65"/>
      <c r="DK180" s="65"/>
      <c r="DL180" s="65"/>
      <c r="DM180" s="65"/>
      <c r="DN180" s="65"/>
      <c r="DO180" s="65"/>
      <c r="DP180" s="65"/>
      <c r="DQ180" s="65"/>
      <c r="DR180" s="65"/>
      <c r="DS180" s="65"/>
      <c r="DT180" s="65"/>
      <c r="DU180" s="65"/>
      <c r="DV180" s="65"/>
      <c r="DW180" s="65"/>
      <c r="DX180" s="65"/>
      <c r="DY180" s="65"/>
      <c r="DZ180" s="65"/>
      <c r="EA180" s="65"/>
      <c r="EB180" s="65"/>
      <c r="EC180" s="65"/>
      <c r="ED180" s="65"/>
      <c r="EE180" s="65"/>
      <c r="EF180" s="65"/>
      <c r="EG180" s="65"/>
      <c r="EH180" s="65"/>
      <c r="EI180" s="65"/>
      <c r="EJ180" s="65"/>
      <c r="EK180" s="65"/>
      <c r="EL180" s="65"/>
      <c r="EM180" s="65"/>
      <c r="EN180" s="65"/>
      <c r="EO180" s="65"/>
      <c r="EP180" s="65"/>
      <c r="EQ180" s="65"/>
      <c r="ER180" s="65"/>
      <c r="ES180" s="65"/>
      <c r="ET180" s="65"/>
      <c r="EU180" s="65"/>
      <c r="EV180" s="65"/>
      <c r="EW180" s="65"/>
      <c r="EX180" s="65"/>
      <c r="EY180" s="65"/>
      <c r="EZ180" s="65"/>
      <c r="FA180" s="65"/>
      <c r="FB180" s="65"/>
      <c r="FC180" s="65"/>
      <c r="FD180" s="65"/>
      <c r="FE180" s="65"/>
      <c r="FF180" s="65"/>
      <c r="FG180" s="65"/>
      <c r="FH180" s="65"/>
      <c r="FI180" s="65"/>
      <c r="FJ180" s="65"/>
      <c r="FK180" s="65"/>
      <c r="FL180" s="65"/>
      <c r="FM180" s="65"/>
      <c r="FN180" s="65"/>
      <c r="FO180" s="65"/>
      <c r="FP180" s="65"/>
      <c r="FQ180" s="65"/>
      <c r="FR180" s="65"/>
      <c r="FS180" s="65"/>
      <c r="FT180" s="65"/>
      <c r="FU180" s="65"/>
    </row>
    <row r="181" spans="2:177" s="1" customFormat="1">
      <c r="B181" s="5"/>
      <c r="C181" s="5"/>
      <c r="D181" s="5"/>
      <c r="E181" s="5"/>
      <c r="F181" s="5"/>
      <c r="G181" s="5"/>
      <c r="H181" s="5"/>
      <c r="I181" s="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5"/>
      <c r="Z181" s="65"/>
      <c r="AA181" s="65"/>
      <c r="AB181" s="65"/>
      <c r="AC181" s="65"/>
      <c r="AD181" s="65"/>
      <c r="AE181" s="65"/>
      <c r="AF181" s="65"/>
      <c r="AG181" s="65"/>
      <c r="AH181" s="65"/>
      <c r="AI181" s="65"/>
      <c r="AJ181" s="65"/>
      <c r="AK181" s="65"/>
      <c r="AL181" s="65"/>
      <c r="AM181" s="65"/>
      <c r="AN181" s="65"/>
      <c r="AO181" s="65"/>
      <c r="AP181" s="65"/>
      <c r="AQ181" s="65"/>
      <c r="AR181" s="65"/>
      <c r="AS181" s="65"/>
      <c r="AT181" s="65"/>
      <c r="AU181" s="65"/>
      <c r="AV181" s="65"/>
      <c r="AW181" s="65"/>
      <c r="AX181" s="65"/>
      <c r="AY181" s="65"/>
      <c r="AZ181" s="65"/>
      <c r="BA181" s="65"/>
      <c r="BB181" s="65"/>
      <c r="BC181" s="65"/>
      <c r="BD181" s="65"/>
      <c r="BE181" s="65"/>
      <c r="BF181" s="65"/>
      <c r="BG181" s="65"/>
      <c r="BH181" s="65"/>
      <c r="BI181" s="65"/>
      <c r="BJ181" s="65"/>
      <c r="BK181" s="65"/>
      <c r="BL181" s="65"/>
      <c r="BM181" s="65"/>
      <c r="BN181" s="65"/>
      <c r="BO181" s="65"/>
      <c r="BP181" s="65"/>
      <c r="BQ181" s="65"/>
      <c r="BR181" s="65"/>
      <c r="BS181" s="65"/>
      <c r="BT181" s="65"/>
      <c r="BU181" s="65"/>
      <c r="BV181" s="65"/>
      <c r="BW181" s="65"/>
      <c r="BX181" s="65"/>
      <c r="BY181" s="65"/>
      <c r="BZ181" s="65"/>
      <c r="CA181" s="65"/>
      <c r="CB181" s="65"/>
      <c r="CC181" s="65"/>
      <c r="CD181" s="65"/>
      <c r="CE181" s="65"/>
      <c r="CF181" s="65"/>
      <c r="CG181" s="65"/>
      <c r="CH181" s="65"/>
      <c r="CI181" s="65"/>
      <c r="CJ181" s="65"/>
      <c r="CK181" s="65"/>
      <c r="CL181" s="65"/>
      <c r="CM181" s="65"/>
      <c r="CN181" s="65"/>
      <c r="CO181" s="65"/>
      <c r="CP181" s="65"/>
      <c r="CQ181" s="65"/>
      <c r="CR181" s="65"/>
      <c r="CS181" s="65"/>
      <c r="CT181" s="65"/>
      <c r="CU181" s="65"/>
      <c r="CV181" s="65"/>
      <c r="CW181" s="65"/>
      <c r="CX181" s="65"/>
      <c r="CY181" s="65"/>
      <c r="CZ181" s="65"/>
      <c r="DA181" s="65"/>
      <c r="DB181" s="65"/>
      <c r="DC181" s="65"/>
      <c r="DD181" s="65"/>
      <c r="DE181" s="65"/>
      <c r="DF181" s="65"/>
      <c r="DG181" s="65"/>
      <c r="DH181" s="65"/>
      <c r="DI181" s="65"/>
      <c r="DJ181" s="65"/>
      <c r="DK181" s="65"/>
      <c r="DL181" s="65"/>
      <c r="DM181" s="65"/>
      <c r="DN181" s="65"/>
      <c r="DO181" s="65"/>
      <c r="DP181" s="65"/>
      <c r="DQ181" s="65"/>
      <c r="DR181" s="65"/>
      <c r="DS181" s="65"/>
      <c r="DT181" s="65"/>
      <c r="DU181" s="65"/>
      <c r="DV181" s="65"/>
      <c r="DW181" s="65"/>
      <c r="DX181" s="65"/>
      <c r="DY181" s="65"/>
      <c r="DZ181" s="65"/>
      <c r="EA181" s="65"/>
      <c r="EB181" s="65"/>
      <c r="EC181" s="65"/>
      <c r="ED181" s="65"/>
      <c r="EE181" s="65"/>
      <c r="EF181" s="65"/>
      <c r="EG181" s="65"/>
      <c r="EH181" s="65"/>
      <c r="EI181" s="65"/>
      <c r="EJ181" s="65"/>
      <c r="EK181" s="65"/>
      <c r="EL181" s="65"/>
      <c r="EM181" s="65"/>
      <c r="EN181" s="65"/>
      <c r="EO181" s="65"/>
      <c r="EP181" s="65"/>
      <c r="EQ181" s="65"/>
      <c r="ER181" s="65"/>
      <c r="ES181" s="65"/>
      <c r="ET181" s="65"/>
      <c r="EU181" s="65"/>
      <c r="EV181" s="65"/>
      <c r="EW181" s="65"/>
      <c r="EX181" s="65"/>
      <c r="EY181" s="65"/>
      <c r="EZ181" s="65"/>
      <c r="FA181" s="65"/>
      <c r="FB181" s="65"/>
      <c r="FC181" s="65"/>
      <c r="FD181" s="65"/>
      <c r="FE181" s="65"/>
      <c r="FF181" s="65"/>
      <c r="FG181" s="65"/>
      <c r="FH181" s="65"/>
      <c r="FI181" s="65"/>
      <c r="FJ181" s="65"/>
      <c r="FK181" s="65"/>
      <c r="FL181" s="65"/>
      <c r="FM181" s="65"/>
      <c r="FN181" s="65"/>
      <c r="FO181" s="65"/>
      <c r="FP181" s="65"/>
      <c r="FQ181" s="65"/>
      <c r="FR181" s="65"/>
      <c r="FS181" s="65"/>
      <c r="FT181" s="65"/>
      <c r="FU181" s="65"/>
    </row>
    <row r="182" spans="2:177" s="1" customFormat="1">
      <c r="B182" s="5"/>
      <c r="C182" s="5"/>
      <c r="D182" s="5"/>
      <c r="E182" s="5"/>
      <c r="F182" s="5"/>
      <c r="G182" s="5"/>
      <c r="H182" s="5"/>
      <c r="I182" s="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  <c r="Z182" s="65"/>
      <c r="AA182" s="65"/>
      <c r="AB182" s="65"/>
      <c r="AC182" s="65"/>
      <c r="AD182" s="65"/>
      <c r="AE182" s="65"/>
      <c r="AF182" s="65"/>
      <c r="AG182" s="65"/>
      <c r="AH182" s="65"/>
      <c r="AI182" s="65"/>
      <c r="AJ182" s="65"/>
      <c r="AK182" s="65"/>
      <c r="AL182" s="65"/>
      <c r="AM182" s="65"/>
      <c r="AN182" s="65"/>
      <c r="AO182" s="65"/>
      <c r="AP182" s="65"/>
      <c r="AQ182" s="65"/>
      <c r="AR182" s="65"/>
      <c r="AS182" s="65"/>
      <c r="AT182" s="65"/>
      <c r="AU182" s="65"/>
      <c r="AV182" s="65"/>
      <c r="AW182" s="65"/>
      <c r="AX182" s="65"/>
      <c r="AY182" s="65"/>
      <c r="AZ182" s="65"/>
      <c r="BA182" s="65"/>
      <c r="BB182" s="65"/>
      <c r="BC182" s="65"/>
      <c r="BD182" s="65"/>
      <c r="BE182" s="65"/>
      <c r="BF182" s="65"/>
      <c r="BG182" s="65"/>
      <c r="BH182" s="65"/>
      <c r="BI182" s="65"/>
      <c r="BJ182" s="65"/>
      <c r="BK182" s="65"/>
      <c r="BL182" s="65"/>
      <c r="BM182" s="65"/>
      <c r="BN182" s="65"/>
      <c r="BO182" s="65"/>
      <c r="BP182" s="65"/>
      <c r="BQ182" s="65"/>
      <c r="BR182" s="65"/>
      <c r="BS182" s="65"/>
      <c r="BT182" s="65"/>
      <c r="BU182" s="65"/>
      <c r="BV182" s="65"/>
      <c r="BW182" s="65"/>
      <c r="BX182" s="65"/>
      <c r="BY182" s="65"/>
      <c r="BZ182" s="65"/>
      <c r="CA182" s="65"/>
      <c r="CB182" s="65"/>
      <c r="CC182" s="65"/>
      <c r="CD182" s="65"/>
      <c r="CE182" s="65"/>
      <c r="CF182" s="65"/>
      <c r="CG182" s="65"/>
      <c r="CH182" s="65"/>
      <c r="CI182" s="65"/>
      <c r="CJ182" s="65"/>
      <c r="CK182" s="65"/>
      <c r="CL182" s="65"/>
      <c r="CM182" s="65"/>
      <c r="CN182" s="65"/>
      <c r="CO182" s="65"/>
      <c r="CP182" s="65"/>
      <c r="CQ182" s="65"/>
      <c r="CR182" s="65"/>
      <c r="CS182" s="65"/>
      <c r="CT182" s="65"/>
      <c r="CU182" s="65"/>
      <c r="CV182" s="65"/>
      <c r="CW182" s="65"/>
      <c r="CX182" s="65"/>
      <c r="CY182" s="65"/>
      <c r="CZ182" s="65"/>
      <c r="DA182" s="65"/>
      <c r="DB182" s="65"/>
      <c r="DC182" s="65"/>
      <c r="DD182" s="65"/>
      <c r="DE182" s="65"/>
      <c r="DF182" s="65"/>
      <c r="DG182" s="65"/>
      <c r="DH182" s="65"/>
      <c r="DI182" s="65"/>
      <c r="DJ182" s="65"/>
      <c r="DK182" s="65"/>
      <c r="DL182" s="65"/>
      <c r="DM182" s="65"/>
      <c r="DN182" s="65"/>
      <c r="DO182" s="65"/>
      <c r="DP182" s="65"/>
      <c r="DQ182" s="65"/>
      <c r="DR182" s="65"/>
      <c r="DS182" s="65"/>
      <c r="DT182" s="65"/>
      <c r="DU182" s="65"/>
      <c r="DV182" s="65"/>
      <c r="DW182" s="65"/>
      <c r="DX182" s="65"/>
      <c r="DY182" s="65"/>
      <c r="DZ182" s="65"/>
      <c r="EA182" s="65"/>
      <c r="EB182" s="65"/>
      <c r="EC182" s="65"/>
      <c r="ED182" s="65"/>
      <c r="EE182" s="65"/>
      <c r="EF182" s="65"/>
      <c r="EG182" s="65"/>
      <c r="EH182" s="65"/>
      <c r="EI182" s="65"/>
      <c r="EJ182" s="65"/>
      <c r="EK182" s="65"/>
      <c r="EL182" s="65"/>
      <c r="EM182" s="65"/>
      <c r="EN182" s="65"/>
      <c r="EO182" s="65"/>
      <c r="EP182" s="65"/>
      <c r="EQ182" s="65"/>
      <c r="ER182" s="65"/>
      <c r="ES182" s="65"/>
      <c r="ET182" s="65"/>
      <c r="EU182" s="65"/>
      <c r="EV182" s="65"/>
      <c r="EW182" s="65"/>
      <c r="EX182" s="65"/>
      <c r="EY182" s="65"/>
      <c r="EZ182" s="65"/>
      <c r="FA182" s="65"/>
      <c r="FB182" s="65"/>
      <c r="FC182" s="65"/>
      <c r="FD182" s="65"/>
      <c r="FE182" s="65"/>
      <c r="FF182" s="65"/>
      <c r="FG182" s="65"/>
      <c r="FH182" s="65"/>
      <c r="FI182" s="65"/>
      <c r="FJ182" s="65"/>
      <c r="FK182" s="65"/>
      <c r="FL182" s="65"/>
      <c r="FM182" s="65"/>
      <c r="FN182" s="65"/>
      <c r="FO182" s="65"/>
      <c r="FP182" s="65"/>
      <c r="FQ182" s="65"/>
      <c r="FR182" s="65"/>
      <c r="FS182" s="65"/>
      <c r="FT182" s="65"/>
      <c r="FU182" s="65"/>
    </row>
    <row r="183" spans="2:177" s="1" customFormat="1">
      <c r="B183" s="5"/>
      <c r="C183" s="5"/>
      <c r="D183" s="5"/>
      <c r="E183" s="5"/>
      <c r="F183" s="5"/>
      <c r="G183" s="5"/>
      <c r="H183" s="5"/>
      <c r="I183" s="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/>
      <c r="Z183" s="65"/>
      <c r="AA183" s="65"/>
      <c r="AB183" s="65"/>
      <c r="AC183" s="65"/>
      <c r="AD183" s="65"/>
      <c r="AE183" s="65"/>
      <c r="AF183" s="65"/>
      <c r="AG183" s="65"/>
      <c r="AH183" s="65"/>
      <c r="AI183" s="65"/>
      <c r="AJ183" s="65"/>
      <c r="AK183" s="65"/>
      <c r="AL183" s="65"/>
      <c r="AM183" s="65"/>
      <c r="AN183" s="65"/>
      <c r="AO183" s="65"/>
      <c r="AP183" s="65"/>
      <c r="AQ183" s="65"/>
      <c r="AR183" s="65"/>
      <c r="AS183" s="65"/>
      <c r="AT183" s="65"/>
      <c r="AU183" s="65"/>
      <c r="AV183" s="65"/>
      <c r="AW183" s="65"/>
      <c r="AX183" s="65"/>
      <c r="AY183" s="65"/>
      <c r="AZ183" s="65"/>
      <c r="BA183" s="65"/>
      <c r="BB183" s="65"/>
      <c r="BC183" s="65"/>
      <c r="BD183" s="65"/>
      <c r="BE183" s="65"/>
      <c r="BF183" s="65"/>
      <c r="BG183" s="65"/>
      <c r="BH183" s="65"/>
      <c r="BI183" s="65"/>
      <c r="BJ183" s="65"/>
      <c r="BK183" s="65"/>
      <c r="BL183" s="65"/>
      <c r="BM183" s="65"/>
      <c r="BN183" s="65"/>
      <c r="BO183" s="65"/>
      <c r="BP183" s="65"/>
      <c r="BQ183" s="65"/>
      <c r="BR183" s="65"/>
      <c r="BS183" s="65"/>
      <c r="BT183" s="65"/>
      <c r="BU183" s="65"/>
      <c r="BV183" s="65"/>
      <c r="BW183" s="65"/>
      <c r="BX183" s="65"/>
      <c r="BY183" s="65"/>
      <c r="BZ183" s="65"/>
      <c r="CA183" s="65"/>
      <c r="CB183" s="65"/>
      <c r="CC183" s="65"/>
      <c r="CD183" s="65"/>
      <c r="CE183" s="65"/>
      <c r="CF183" s="65"/>
      <c r="CG183" s="65"/>
      <c r="CH183" s="65"/>
      <c r="CI183" s="65"/>
      <c r="CJ183" s="65"/>
      <c r="CK183" s="65"/>
      <c r="CL183" s="65"/>
      <c r="CM183" s="65"/>
      <c r="CN183" s="65"/>
      <c r="CO183" s="65"/>
      <c r="CP183" s="65"/>
      <c r="CQ183" s="65"/>
      <c r="CR183" s="65"/>
      <c r="CS183" s="65"/>
      <c r="CT183" s="65"/>
      <c r="CU183" s="65"/>
      <c r="CV183" s="65"/>
      <c r="CW183" s="65"/>
      <c r="CX183" s="65"/>
      <c r="CY183" s="65"/>
      <c r="CZ183" s="65"/>
      <c r="DA183" s="65"/>
      <c r="DB183" s="65"/>
      <c r="DC183" s="65"/>
      <c r="DD183" s="65"/>
      <c r="DE183" s="65"/>
      <c r="DF183" s="65"/>
      <c r="DG183" s="65"/>
      <c r="DH183" s="65"/>
      <c r="DI183" s="65"/>
      <c r="DJ183" s="65"/>
      <c r="DK183" s="65"/>
      <c r="DL183" s="65"/>
      <c r="DM183" s="65"/>
      <c r="DN183" s="65"/>
      <c r="DO183" s="65"/>
      <c r="DP183" s="65"/>
      <c r="DQ183" s="65"/>
      <c r="DR183" s="65"/>
      <c r="DS183" s="65"/>
      <c r="DT183" s="65"/>
      <c r="DU183" s="65"/>
      <c r="DV183" s="65"/>
      <c r="DW183" s="65"/>
      <c r="DX183" s="65"/>
      <c r="DY183" s="65"/>
      <c r="DZ183" s="65"/>
      <c r="EA183" s="65"/>
      <c r="EB183" s="65"/>
      <c r="EC183" s="65"/>
      <c r="ED183" s="65"/>
      <c r="EE183" s="65"/>
      <c r="EF183" s="65"/>
      <c r="EG183" s="65"/>
      <c r="EH183" s="65"/>
      <c r="EI183" s="65"/>
      <c r="EJ183" s="65"/>
      <c r="EK183" s="65"/>
      <c r="EL183" s="65"/>
      <c r="EM183" s="65"/>
      <c r="EN183" s="65"/>
      <c r="EO183" s="65"/>
      <c r="EP183" s="65"/>
      <c r="EQ183" s="65"/>
      <c r="ER183" s="65"/>
      <c r="ES183" s="65"/>
      <c r="ET183" s="65"/>
      <c r="EU183" s="65"/>
      <c r="EV183" s="65"/>
      <c r="EW183" s="65"/>
      <c r="EX183" s="65"/>
      <c r="EY183" s="65"/>
      <c r="EZ183" s="65"/>
      <c r="FA183" s="65"/>
      <c r="FB183" s="65"/>
      <c r="FC183" s="65"/>
      <c r="FD183" s="65"/>
      <c r="FE183" s="65"/>
      <c r="FF183" s="65"/>
      <c r="FG183" s="65"/>
      <c r="FH183" s="65"/>
      <c r="FI183" s="65"/>
      <c r="FJ183" s="65"/>
      <c r="FK183" s="65"/>
      <c r="FL183" s="65"/>
      <c r="FM183" s="65"/>
      <c r="FN183" s="65"/>
      <c r="FO183" s="65"/>
      <c r="FP183" s="65"/>
      <c r="FQ183" s="65"/>
      <c r="FR183" s="65"/>
      <c r="FS183" s="65"/>
      <c r="FT183" s="65"/>
      <c r="FU183" s="65"/>
    </row>
    <row r="184" spans="2:177" s="1" customFormat="1">
      <c r="B184" s="5"/>
      <c r="C184" s="5"/>
      <c r="D184" s="5"/>
      <c r="E184" s="5"/>
      <c r="F184" s="5"/>
      <c r="G184" s="5"/>
      <c r="H184" s="5"/>
      <c r="I184" s="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65"/>
      <c r="AA184" s="65"/>
      <c r="AB184" s="65"/>
      <c r="AC184" s="65"/>
      <c r="AD184" s="65"/>
      <c r="AE184" s="65"/>
      <c r="AF184" s="65"/>
      <c r="AG184" s="65"/>
      <c r="AH184" s="65"/>
      <c r="AI184" s="65"/>
      <c r="AJ184" s="65"/>
      <c r="AK184" s="65"/>
      <c r="AL184" s="65"/>
      <c r="AM184" s="65"/>
      <c r="AN184" s="65"/>
      <c r="AO184" s="65"/>
      <c r="AP184" s="65"/>
      <c r="AQ184" s="65"/>
      <c r="AR184" s="65"/>
      <c r="AS184" s="65"/>
      <c r="AT184" s="65"/>
      <c r="AU184" s="65"/>
      <c r="AV184" s="65"/>
      <c r="AW184" s="65"/>
      <c r="AX184" s="65"/>
      <c r="AY184" s="65"/>
      <c r="AZ184" s="65"/>
      <c r="BA184" s="65"/>
      <c r="BB184" s="65"/>
      <c r="BC184" s="65"/>
      <c r="BD184" s="65"/>
      <c r="BE184" s="65"/>
      <c r="BF184" s="65"/>
      <c r="BG184" s="65"/>
      <c r="BH184" s="65"/>
      <c r="BI184" s="65"/>
      <c r="BJ184" s="65"/>
      <c r="BK184" s="65"/>
      <c r="BL184" s="65"/>
      <c r="BM184" s="65"/>
      <c r="BN184" s="65"/>
      <c r="BO184" s="65"/>
      <c r="BP184" s="65"/>
      <c r="BQ184" s="65"/>
      <c r="BR184" s="65"/>
      <c r="BS184" s="65"/>
      <c r="BT184" s="65"/>
      <c r="BU184" s="65"/>
      <c r="BV184" s="65"/>
      <c r="BW184" s="65"/>
      <c r="BX184" s="65"/>
      <c r="BY184" s="65"/>
      <c r="BZ184" s="65"/>
      <c r="CA184" s="65"/>
      <c r="CB184" s="65"/>
      <c r="CC184" s="65"/>
      <c r="CD184" s="65"/>
      <c r="CE184" s="65"/>
      <c r="CF184" s="65"/>
      <c r="CG184" s="65"/>
      <c r="CH184" s="65"/>
      <c r="CI184" s="65"/>
      <c r="CJ184" s="65"/>
      <c r="CK184" s="65"/>
      <c r="CL184" s="65"/>
      <c r="CM184" s="65"/>
      <c r="CN184" s="65"/>
      <c r="CO184" s="65"/>
      <c r="CP184" s="65"/>
      <c r="CQ184" s="65"/>
      <c r="CR184" s="65"/>
      <c r="CS184" s="65"/>
      <c r="CT184" s="65"/>
      <c r="CU184" s="65"/>
      <c r="CV184" s="65"/>
      <c r="CW184" s="65"/>
      <c r="CX184" s="65"/>
      <c r="CY184" s="65"/>
      <c r="CZ184" s="65"/>
      <c r="DA184" s="65"/>
      <c r="DB184" s="65"/>
      <c r="DC184" s="65"/>
      <c r="DD184" s="65"/>
      <c r="DE184" s="65"/>
      <c r="DF184" s="65"/>
      <c r="DG184" s="65"/>
      <c r="DH184" s="65"/>
      <c r="DI184" s="65"/>
      <c r="DJ184" s="65"/>
      <c r="DK184" s="65"/>
      <c r="DL184" s="65"/>
      <c r="DM184" s="65"/>
      <c r="DN184" s="65"/>
      <c r="DO184" s="65"/>
      <c r="DP184" s="65"/>
      <c r="DQ184" s="65"/>
      <c r="DR184" s="65"/>
      <c r="DS184" s="65"/>
      <c r="DT184" s="65"/>
      <c r="DU184" s="65"/>
      <c r="DV184" s="65"/>
      <c r="DW184" s="65"/>
      <c r="DX184" s="65"/>
      <c r="DY184" s="65"/>
      <c r="DZ184" s="65"/>
      <c r="EA184" s="65"/>
      <c r="EB184" s="65"/>
      <c r="EC184" s="65"/>
      <c r="ED184" s="65"/>
      <c r="EE184" s="65"/>
      <c r="EF184" s="65"/>
      <c r="EG184" s="65"/>
      <c r="EH184" s="65"/>
      <c r="EI184" s="65"/>
      <c r="EJ184" s="65"/>
      <c r="EK184" s="65"/>
      <c r="EL184" s="65"/>
      <c r="EM184" s="65"/>
      <c r="EN184" s="65"/>
      <c r="EO184" s="65"/>
      <c r="EP184" s="65"/>
      <c r="EQ184" s="65"/>
      <c r="ER184" s="65"/>
      <c r="ES184" s="65"/>
      <c r="ET184" s="65"/>
      <c r="EU184" s="65"/>
      <c r="EV184" s="65"/>
      <c r="EW184" s="65"/>
      <c r="EX184" s="65"/>
      <c r="EY184" s="65"/>
      <c r="EZ184" s="65"/>
      <c r="FA184" s="65"/>
      <c r="FB184" s="65"/>
      <c r="FC184" s="65"/>
      <c r="FD184" s="65"/>
      <c r="FE184" s="65"/>
      <c r="FF184" s="65"/>
      <c r="FG184" s="65"/>
      <c r="FH184" s="65"/>
      <c r="FI184" s="65"/>
      <c r="FJ184" s="65"/>
      <c r="FK184" s="65"/>
      <c r="FL184" s="65"/>
      <c r="FM184" s="65"/>
      <c r="FN184" s="65"/>
      <c r="FO184" s="65"/>
      <c r="FP184" s="65"/>
      <c r="FQ184" s="65"/>
      <c r="FR184" s="65"/>
      <c r="FS184" s="65"/>
      <c r="FT184" s="65"/>
      <c r="FU184" s="65"/>
    </row>
    <row r="185" spans="2:177" s="3" customFormat="1">
      <c r="B185" s="5"/>
      <c r="C185" s="6"/>
      <c r="D185" s="6"/>
      <c r="E185" s="6"/>
      <c r="F185" s="6"/>
      <c r="G185" s="6"/>
      <c r="H185" s="6"/>
      <c r="I185" s="6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  <c r="AA185" s="71"/>
      <c r="AB185" s="71"/>
      <c r="AC185" s="71"/>
      <c r="AD185" s="71"/>
      <c r="AE185" s="71"/>
      <c r="AF185" s="71"/>
      <c r="AG185" s="71"/>
      <c r="AH185" s="71"/>
      <c r="AI185" s="71"/>
      <c r="AJ185" s="71"/>
      <c r="AK185" s="71"/>
      <c r="AL185" s="71"/>
      <c r="AM185" s="71"/>
      <c r="AN185" s="71"/>
      <c r="AO185" s="71"/>
      <c r="AP185" s="71"/>
      <c r="AQ185" s="71"/>
      <c r="AR185" s="71"/>
      <c r="AS185" s="71"/>
      <c r="AT185" s="71"/>
      <c r="AU185" s="71"/>
      <c r="AV185" s="71"/>
      <c r="AW185" s="71"/>
      <c r="AX185" s="71"/>
      <c r="AY185" s="71"/>
      <c r="AZ185" s="71"/>
      <c r="BA185" s="71"/>
      <c r="BB185" s="71"/>
      <c r="BC185" s="71"/>
      <c r="BD185" s="71"/>
      <c r="BE185" s="71"/>
      <c r="BF185" s="71"/>
      <c r="BG185" s="71"/>
      <c r="BH185" s="71"/>
      <c r="BI185" s="71"/>
      <c r="BJ185" s="71"/>
      <c r="BK185" s="71"/>
      <c r="BL185" s="71"/>
      <c r="BM185" s="71"/>
      <c r="BN185" s="71"/>
      <c r="BO185" s="71"/>
      <c r="BP185" s="71"/>
      <c r="BQ185" s="71"/>
      <c r="BR185" s="71"/>
      <c r="BS185" s="71"/>
      <c r="BT185" s="71"/>
      <c r="BU185" s="71"/>
      <c r="BV185" s="71"/>
      <c r="BW185" s="71"/>
      <c r="BX185" s="71"/>
      <c r="BY185" s="71"/>
      <c r="BZ185" s="71"/>
      <c r="CA185" s="71"/>
      <c r="CB185" s="71"/>
      <c r="CC185" s="71"/>
      <c r="CD185" s="71"/>
      <c r="CE185" s="71"/>
      <c r="CF185" s="71"/>
      <c r="CG185" s="71"/>
      <c r="CH185" s="71"/>
      <c r="CI185" s="71"/>
      <c r="CJ185" s="71"/>
      <c r="CK185" s="71"/>
      <c r="CL185" s="71"/>
      <c r="CM185" s="71"/>
      <c r="CN185" s="71"/>
      <c r="CO185" s="71"/>
      <c r="CP185" s="71"/>
      <c r="CQ185" s="71"/>
      <c r="CR185" s="71"/>
      <c r="CS185" s="71"/>
      <c r="CT185" s="71"/>
      <c r="CU185" s="71"/>
      <c r="CV185" s="71"/>
      <c r="CW185" s="71"/>
      <c r="CX185" s="71"/>
      <c r="CY185" s="71"/>
      <c r="CZ185" s="71"/>
      <c r="DA185" s="71"/>
      <c r="DB185" s="71"/>
      <c r="DC185" s="71"/>
      <c r="DD185" s="71"/>
      <c r="DE185" s="71"/>
      <c r="DF185" s="71"/>
      <c r="DG185" s="71"/>
      <c r="DH185" s="71"/>
      <c r="DI185" s="71"/>
      <c r="DJ185" s="71"/>
      <c r="DK185" s="71"/>
      <c r="DL185" s="71"/>
      <c r="DM185" s="71"/>
      <c r="DN185" s="71"/>
      <c r="DO185" s="71"/>
      <c r="DP185" s="71"/>
      <c r="DQ185" s="71"/>
      <c r="DR185" s="71"/>
      <c r="DS185" s="71"/>
      <c r="DT185" s="71"/>
      <c r="DU185" s="71"/>
      <c r="DV185" s="71"/>
      <c r="DW185" s="71"/>
      <c r="DX185" s="71"/>
      <c r="DY185" s="71"/>
      <c r="DZ185" s="71"/>
      <c r="EA185" s="71"/>
      <c r="EB185" s="71"/>
      <c r="EC185" s="71"/>
      <c r="ED185" s="71"/>
      <c r="EE185" s="71"/>
      <c r="EF185" s="71"/>
      <c r="EG185" s="71"/>
      <c r="EH185" s="71"/>
      <c r="EI185" s="71"/>
      <c r="EJ185" s="71"/>
      <c r="EK185" s="71"/>
      <c r="EL185" s="71"/>
      <c r="EM185" s="71"/>
      <c r="EN185" s="71"/>
      <c r="EO185" s="71"/>
      <c r="EP185" s="71"/>
      <c r="EQ185" s="71"/>
      <c r="ER185" s="71"/>
      <c r="ES185" s="71"/>
      <c r="ET185" s="71"/>
      <c r="EU185" s="71"/>
      <c r="EV185" s="71"/>
      <c r="EW185" s="71"/>
      <c r="EX185" s="71"/>
      <c r="EY185" s="71"/>
      <c r="EZ185" s="71"/>
      <c r="FA185" s="71"/>
      <c r="FB185" s="71"/>
      <c r="FC185" s="71"/>
      <c r="FD185" s="71"/>
      <c r="FE185" s="71"/>
      <c r="FF185" s="71"/>
      <c r="FG185" s="71"/>
      <c r="FH185" s="71"/>
      <c r="FI185" s="71"/>
      <c r="FJ185" s="71"/>
      <c r="FK185" s="71"/>
      <c r="FL185" s="71"/>
      <c r="FM185" s="71"/>
      <c r="FN185" s="71"/>
      <c r="FO185" s="71"/>
      <c r="FP185" s="71"/>
      <c r="FQ185" s="71"/>
      <c r="FR185" s="71"/>
      <c r="FS185" s="71"/>
      <c r="FT185" s="71"/>
      <c r="FU185" s="71"/>
    </row>
    <row r="186" spans="2:177" s="1" customFormat="1">
      <c r="B186" s="2"/>
      <c r="C186" s="2"/>
      <c r="D186" s="2"/>
      <c r="E186" s="2"/>
      <c r="F186" s="2"/>
      <c r="G186" s="2"/>
      <c r="H186" s="2"/>
      <c r="I186" s="2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/>
      <c r="Z186" s="65"/>
      <c r="AA186" s="65"/>
      <c r="AB186" s="65"/>
      <c r="AC186" s="65"/>
      <c r="AD186" s="65"/>
      <c r="AE186" s="65"/>
      <c r="AF186" s="65"/>
      <c r="AG186" s="65"/>
      <c r="AH186" s="65"/>
      <c r="AI186" s="65"/>
      <c r="AJ186" s="65"/>
      <c r="AK186" s="65"/>
      <c r="AL186" s="65"/>
      <c r="AM186" s="65"/>
      <c r="AN186" s="65"/>
      <c r="AO186" s="65"/>
      <c r="AP186" s="65"/>
      <c r="AQ186" s="65"/>
      <c r="AR186" s="65"/>
      <c r="AS186" s="65"/>
      <c r="AT186" s="65"/>
      <c r="AU186" s="65"/>
      <c r="AV186" s="65"/>
      <c r="AW186" s="65"/>
      <c r="AX186" s="65"/>
      <c r="AY186" s="65"/>
      <c r="AZ186" s="65"/>
      <c r="BA186" s="65"/>
      <c r="BB186" s="65"/>
      <c r="BC186" s="65"/>
      <c r="BD186" s="65"/>
      <c r="BE186" s="65"/>
      <c r="BF186" s="65"/>
      <c r="BG186" s="65"/>
      <c r="BH186" s="65"/>
      <c r="BI186" s="65"/>
      <c r="BJ186" s="65"/>
      <c r="BK186" s="65"/>
      <c r="BL186" s="65"/>
      <c r="BM186" s="65"/>
      <c r="BN186" s="65"/>
      <c r="BO186" s="65"/>
      <c r="BP186" s="65"/>
      <c r="BQ186" s="65"/>
      <c r="BR186" s="65"/>
      <c r="BS186" s="65"/>
      <c r="BT186" s="65"/>
      <c r="BU186" s="65"/>
      <c r="BV186" s="65"/>
      <c r="BW186" s="65"/>
      <c r="BX186" s="65"/>
      <c r="BY186" s="65"/>
      <c r="BZ186" s="65"/>
      <c r="CA186" s="65"/>
      <c r="CB186" s="65"/>
      <c r="CC186" s="65"/>
      <c r="CD186" s="65"/>
      <c r="CE186" s="65"/>
      <c r="CF186" s="65"/>
      <c r="CG186" s="65"/>
      <c r="CH186" s="65"/>
      <c r="CI186" s="65"/>
      <c r="CJ186" s="65"/>
      <c r="CK186" s="65"/>
      <c r="CL186" s="65"/>
      <c r="CM186" s="65"/>
      <c r="CN186" s="65"/>
      <c r="CO186" s="65"/>
      <c r="CP186" s="65"/>
      <c r="CQ186" s="65"/>
      <c r="CR186" s="65"/>
      <c r="CS186" s="65"/>
      <c r="CT186" s="65"/>
      <c r="CU186" s="65"/>
      <c r="CV186" s="65"/>
      <c r="CW186" s="65"/>
      <c r="CX186" s="65"/>
      <c r="CY186" s="65"/>
      <c r="CZ186" s="65"/>
      <c r="DA186" s="65"/>
      <c r="DB186" s="65"/>
      <c r="DC186" s="65"/>
      <c r="DD186" s="65"/>
      <c r="DE186" s="65"/>
      <c r="DF186" s="65"/>
      <c r="DG186" s="65"/>
      <c r="DH186" s="65"/>
      <c r="DI186" s="65"/>
      <c r="DJ186" s="65"/>
      <c r="DK186" s="65"/>
      <c r="DL186" s="65"/>
      <c r="DM186" s="65"/>
      <c r="DN186" s="65"/>
      <c r="DO186" s="65"/>
      <c r="DP186" s="65"/>
      <c r="DQ186" s="65"/>
      <c r="DR186" s="65"/>
      <c r="DS186" s="65"/>
      <c r="DT186" s="65"/>
      <c r="DU186" s="65"/>
      <c r="DV186" s="65"/>
      <c r="DW186" s="65"/>
      <c r="DX186" s="65"/>
      <c r="DY186" s="65"/>
      <c r="DZ186" s="65"/>
      <c r="EA186" s="65"/>
      <c r="EB186" s="65"/>
      <c r="EC186" s="65"/>
      <c r="ED186" s="65"/>
      <c r="EE186" s="65"/>
      <c r="EF186" s="65"/>
      <c r="EG186" s="65"/>
      <c r="EH186" s="65"/>
      <c r="EI186" s="65"/>
      <c r="EJ186" s="65"/>
      <c r="EK186" s="65"/>
      <c r="EL186" s="65"/>
      <c r="EM186" s="65"/>
      <c r="EN186" s="65"/>
      <c r="EO186" s="65"/>
      <c r="EP186" s="65"/>
      <c r="EQ186" s="65"/>
      <c r="ER186" s="65"/>
      <c r="ES186" s="65"/>
      <c r="ET186" s="65"/>
      <c r="EU186" s="65"/>
      <c r="EV186" s="65"/>
      <c r="EW186" s="65"/>
      <c r="EX186" s="65"/>
      <c r="EY186" s="65"/>
      <c r="EZ186" s="65"/>
      <c r="FA186" s="65"/>
      <c r="FB186" s="65"/>
      <c r="FC186" s="65"/>
      <c r="FD186" s="65"/>
      <c r="FE186" s="65"/>
      <c r="FF186" s="65"/>
      <c r="FG186" s="65"/>
      <c r="FH186" s="65"/>
      <c r="FI186" s="65"/>
      <c r="FJ186" s="65"/>
      <c r="FK186" s="65"/>
      <c r="FL186" s="65"/>
      <c r="FM186" s="65"/>
      <c r="FN186" s="65"/>
      <c r="FO186" s="65"/>
      <c r="FP186" s="65"/>
      <c r="FQ186" s="65"/>
      <c r="FR186" s="65"/>
      <c r="FS186" s="65"/>
      <c r="FT186" s="65"/>
      <c r="FU186" s="65"/>
    </row>
    <row r="187" spans="2:177" s="1" customFormat="1">
      <c r="B187" s="2"/>
      <c r="C187" s="2"/>
      <c r="D187" s="2"/>
      <c r="E187" s="2"/>
      <c r="F187" s="2"/>
      <c r="G187" s="2"/>
      <c r="H187" s="2"/>
      <c r="I187" s="2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/>
      <c r="AN187" s="65"/>
      <c r="AO187" s="65"/>
      <c r="AP187" s="65"/>
      <c r="AQ187" s="65"/>
      <c r="AR187" s="65"/>
      <c r="AS187" s="65"/>
      <c r="AT187" s="65"/>
      <c r="AU187" s="65"/>
      <c r="AV187" s="65"/>
      <c r="AW187" s="65"/>
      <c r="AX187" s="65"/>
      <c r="AY187" s="65"/>
      <c r="AZ187" s="65"/>
      <c r="BA187" s="65"/>
      <c r="BB187" s="65"/>
      <c r="BC187" s="65"/>
      <c r="BD187" s="65"/>
      <c r="BE187" s="65"/>
      <c r="BF187" s="65"/>
      <c r="BG187" s="65"/>
      <c r="BH187" s="65"/>
      <c r="BI187" s="65"/>
      <c r="BJ187" s="65"/>
      <c r="BK187" s="65"/>
      <c r="BL187" s="65"/>
      <c r="BM187" s="65"/>
      <c r="BN187" s="65"/>
      <c r="BO187" s="65"/>
      <c r="BP187" s="65"/>
      <c r="BQ187" s="65"/>
      <c r="BR187" s="65"/>
      <c r="BS187" s="65"/>
      <c r="BT187" s="65"/>
      <c r="BU187" s="65"/>
      <c r="BV187" s="65"/>
      <c r="BW187" s="65"/>
      <c r="BX187" s="65"/>
      <c r="BY187" s="65"/>
      <c r="BZ187" s="65"/>
      <c r="CA187" s="65"/>
      <c r="CB187" s="65"/>
      <c r="CC187" s="65"/>
      <c r="CD187" s="65"/>
      <c r="CE187" s="65"/>
      <c r="CF187" s="65"/>
      <c r="CG187" s="65"/>
      <c r="CH187" s="65"/>
      <c r="CI187" s="65"/>
      <c r="CJ187" s="65"/>
      <c r="CK187" s="65"/>
      <c r="CL187" s="65"/>
      <c r="CM187" s="65"/>
      <c r="CN187" s="65"/>
      <c r="CO187" s="65"/>
      <c r="CP187" s="65"/>
      <c r="CQ187" s="65"/>
      <c r="CR187" s="65"/>
      <c r="CS187" s="65"/>
      <c r="CT187" s="65"/>
      <c r="CU187" s="65"/>
      <c r="CV187" s="65"/>
      <c r="CW187" s="65"/>
      <c r="CX187" s="65"/>
      <c r="CY187" s="65"/>
      <c r="CZ187" s="65"/>
      <c r="DA187" s="65"/>
      <c r="DB187" s="65"/>
      <c r="DC187" s="65"/>
      <c r="DD187" s="65"/>
      <c r="DE187" s="65"/>
      <c r="DF187" s="65"/>
      <c r="DG187" s="65"/>
      <c r="DH187" s="65"/>
      <c r="DI187" s="65"/>
      <c r="DJ187" s="65"/>
      <c r="DK187" s="65"/>
      <c r="DL187" s="65"/>
      <c r="DM187" s="65"/>
      <c r="DN187" s="65"/>
      <c r="DO187" s="65"/>
      <c r="DP187" s="65"/>
      <c r="DQ187" s="65"/>
      <c r="DR187" s="65"/>
      <c r="DS187" s="65"/>
      <c r="DT187" s="65"/>
      <c r="DU187" s="65"/>
      <c r="DV187" s="65"/>
      <c r="DW187" s="65"/>
      <c r="DX187" s="65"/>
      <c r="DY187" s="65"/>
      <c r="DZ187" s="65"/>
      <c r="EA187" s="65"/>
      <c r="EB187" s="65"/>
      <c r="EC187" s="65"/>
      <c r="ED187" s="65"/>
      <c r="EE187" s="65"/>
      <c r="EF187" s="65"/>
      <c r="EG187" s="65"/>
      <c r="EH187" s="65"/>
      <c r="EI187" s="65"/>
      <c r="EJ187" s="65"/>
      <c r="EK187" s="65"/>
      <c r="EL187" s="65"/>
      <c r="EM187" s="65"/>
      <c r="EN187" s="65"/>
      <c r="EO187" s="65"/>
      <c r="EP187" s="65"/>
      <c r="EQ187" s="65"/>
      <c r="ER187" s="65"/>
      <c r="ES187" s="65"/>
      <c r="ET187" s="65"/>
      <c r="EU187" s="65"/>
      <c r="EV187" s="65"/>
      <c r="EW187" s="65"/>
      <c r="EX187" s="65"/>
      <c r="EY187" s="65"/>
      <c r="EZ187" s="65"/>
      <c r="FA187" s="65"/>
      <c r="FB187" s="65"/>
      <c r="FC187" s="65"/>
      <c r="FD187" s="65"/>
      <c r="FE187" s="65"/>
      <c r="FF187" s="65"/>
      <c r="FG187" s="65"/>
      <c r="FH187" s="65"/>
      <c r="FI187" s="65"/>
      <c r="FJ187" s="65"/>
      <c r="FK187" s="65"/>
      <c r="FL187" s="65"/>
      <c r="FM187" s="65"/>
      <c r="FN187" s="65"/>
      <c r="FO187" s="65"/>
      <c r="FP187" s="65"/>
      <c r="FQ187" s="65"/>
      <c r="FR187" s="65"/>
      <c r="FS187" s="65"/>
      <c r="FT187" s="65"/>
      <c r="FU187" s="65"/>
    </row>
    <row r="188" spans="2:177" s="1" customFormat="1">
      <c r="B188" s="2"/>
      <c r="C188" s="2"/>
      <c r="D188" s="2"/>
      <c r="E188" s="2"/>
      <c r="F188" s="2"/>
      <c r="G188" s="2"/>
      <c r="H188" s="2"/>
      <c r="I188" s="2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  <c r="Z188" s="65"/>
      <c r="AA188" s="65"/>
      <c r="AB188" s="65"/>
      <c r="AC188" s="65"/>
      <c r="AD188" s="65"/>
      <c r="AE188" s="65"/>
      <c r="AF188" s="65"/>
      <c r="AG188" s="65"/>
      <c r="AH188" s="65"/>
      <c r="AI188" s="65"/>
      <c r="AJ188" s="65"/>
      <c r="AK188" s="65"/>
      <c r="AL188" s="65"/>
      <c r="AM188" s="65"/>
      <c r="AN188" s="65"/>
      <c r="AO188" s="65"/>
      <c r="AP188" s="65"/>
      <c r="AQ188" s="65"/>
      <c r="AR188" s="65"/>
      <c r="AS188" s="65"/>
      <c r="AT188" s="65"/>
      <c r="AU188" s="65"/>
      <c r="AV188" s="65"/>
      <c r="AW188" s="65"/>
      <c r="AX188" s="65"/>
      <c r="AY188" s="65"/>
      <c r="AZ188" s="65"/>
      <c r="BA188" s="65"/>
      <c r="BB188" s="65"/>
      <c r="BC188" s="65"/>
      <c r="BD188" s="65"/>
      <c r="BE188" s="65"/>
      <c r="BF188" s="65"/>
      <c r="BG188" s="65"/>
      <c r="BH188" s="65"/>
      <c r="BI188" s="65"/>
      <c r="BJ188" s="65"/>
      <c r="BK188" s="65"/>
      <c r="BL188" s="65"/>
      <c r="BM188" s="65"/>
      <c r="BN188" s="65"/>
      <c r="BO188" s="65"/>
      <c r="BP188" s="65"/>
      <c r="BQ188" s="65"/>
      <c r="BR188" s="65"/>
      <c r="BS188" s="65"/>
      <c r="BT188" s="65"/>
      <c r="BU188" s="65"/>
      <c r="BV188" s="65"/>
      <c r="BW188" s="65"/>
      <c r="BX188" s="65"/>
      <c r="BY188" s="65"/>
      <c r="BZ188" s="65"/>
      <c r="CA188" s="65"/>
      <c r="CB188" s="65"/>
      <c r="CC188" s="65"/>
      <c r="CD188" s="65"/>
      <c r="CE188" s="65"/>
      <c r="CF188" s="65"/>
      <c r="CG188" s="65"/>
      <c r="CH188" s="65"/>
      <c r="CI188" s="65"/>
      <c r="CJ188" s="65"/>
      <c r="CK188" s="65"/>
      <c r="CL188" s="65"/>
      <c r="CM188" s="65"/>
      <c r="CN188" s="65"/>
      <c r="CO188" s="65"/>
      <c r="CP188" s="65"/>
      <c r="CQ188" s="65"/>
      <c r="CR188" s="65"/>
      <c r="CS188" s="65"/>
      <c r="CT188" s="65"/>
      <c r="CU188" s="65"/>
      <c r="CV188" s="65"/>
      <c r="CW188" s="65"/>
      <c r="CX188" s="65"/>
      <c r="CY188" s="65"/>
      <c r="CZ188" s="65"/>
      <c r="DA188" s="65"/>
      <c r="DB188" s="65"/>
      <c r="DC188" s="65"/>
      <c r="DD188" s="65"/>
      <c r="DE188" s="65"/>
      <c r="DF188" s="65"/>
      <c r="DG188" s="65"/>
      <c r="DH188" s="65"/>
      <c r="DI188" s="65"/>
      <c r="DJ188" s="65"/>
      <c r="DK188" s="65"/>
      <c r="DL188" s="65"/>
      <c r="DM188" s="65"/>
      <c r="DN188" s="65"/>
      <c r="DO188" s="65"/>
      <c r="DP188" s="65"/>
      <c r="DQ188" s="65"/>
      <c r="DR188" s="65"/>
      <c r="DS188" s="65"/>
      <c r="DT188" s="65"/>
      <c r="DU188" s="65"/>
      <c r="DV188" s="65"/>
      <c r="DW188" s="65"/>
      <c r="DX188" s="65"/>
      <c r="DY188" s="65"/>
      <c r="DZ188" s="65"/>
      <c r="EA188" s="65"/>
      <c r="EB188" s="65"/>
      <c r="EC188" s="65"/>
      <c r="ED188" s="65"/>
      <c r="EE188" s="65"/>
      <c r="EF188" s="65"/>
      <c r="EG188" s="65"/>
      <c r="EH188" s="65"/>
      <c r="EI188" s="65"/>
      <c r="EJ188" s="65"/>
      <c r="EK188" s="65"/>
      <c r="EL188" s="65"/>
      <c r="EM188" s="65"/>
      <c r="EN188" s="65"/>
      <c r="EO188" s="65"/>
      <c r="EP188" s="65"/>
      <c r="EQ188" s="65"/>
      <c r="ER188" s="65"/>
      <c r="ES188" s="65"/>
      <c r="ET188" s="65"/>
      <c r="EU188" s="65"/>
      <c r="EV188" s="65"/>
      <c r="EW188" s="65"/>
      <c r="EX188" s="65"/>
      <c r="EY188" s="65"/>
      <c r="EZ188" s="65"/>
      <c r="FA188" s="65"/>
      <c r="FB188" s="65"/>
      <c r="FC188" s="65"/>
      <c r="FD188" s="65"/>
      <c r="FE188" s="65"/>
      <c r="FF188" s="65"/>
      <c r="FG188" s="65"/>
      <c r="FH188" s="65"/>
      <c r="FI188" s="65"/>
      <c r="FJ188" s="65"/>
      <c r="FK188" s="65"/>
      <c r="FL188" s="65"/>
      <c r="FM188" s="65"/>
      <c r="FN188" s="65"/>
      <c r="FO188" s="65"/>
      <c r="FP188" s="65"/>
      <c r="FQ188" s="65"/>
      <c r="FR188" s="65"/>
      <c r="FS188" s="65"/>
      <c r="FT188" s="65"/>
      <c r="FU188" s="65"/>
    </row>
    <row r="189" spans="2:177" s="1" customFormat="1">
      <c r="B189" s="2"/>
      <c r="C189" s="2"/>
      <c r="D189" s="2"/>
      <c r="E189" s="2"/>
      <c r="F189" s="2"/>
      <c r="G189" s="2"/>
      <c r="H189" s="2"/>
      <c r="I189" s="2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  <c r="AA189" s="65"/>
      <c r="AB189" s="65"/>
      <c r="AC189" s="65"/>
      <c r="AD189" s="65"/>
      <c r="AE189" s="65"/>
      <c r="AF189" s="65"/>
      <c r="AG189" s="65"/>
      <c r="AH189" s="65"/>
      <c r="AI189" s="65"/>
      <c r="AJ189" s="65"/>
      <c r="AK189" s="65"/>
      <c r="AL189" s="65"/>
      <c r="AM189" s="65"/>
      <c r="AN189" s="65"/>
      <c r="AO189" s="65"/>
      <c r="AP189" s="65"/>
      <c r="AQ189" s="65"/>
      <c r="AR189" s="65"/>
      <c r="AS189" s="65"/>
      <c r="AT189" s="65"/>
      <c r="AU189" s="65"/>
      <c r="AV189" s="65"/>
      <c r="AW189" s="65"/>
      <c r="AX189" s="65"/>
      <c r="AY189" s="65"/>
      <c r="AZ189" s="65"/>
      <c r="BA189" s="65"/>
      <c r="BB189" s="65"/>
      <c r="BC189" s="65"/>
      <c r="BD189" s="65"/>
      <c r="BE189" s="65"/>
      <c r="BF189" s="65"/>
      <c r="BG189" s="65"/>
      <c r="BH189" s="65"/>
      <c r="BI189" s="65"/>
      <c r="BJ189" s="65"/>
      <c r="BK189" s="65"/>
      <c r="BL189" s="65"/>
      <c r="BM189" s="65"/>
      <c r="BN189" s="65"/>
      <c r="BO189" s="65"/>
      <c r="BP189" s="65"/>
      <c r="BQ189" s="65"/>
      <c r="BR189" s="65"/>
      <c r="BS189" s="65"/>
      <c r="BT189" s="65"/>
      <c r="BU189" s="65"/>
      <c r="BV189" s="65"/>
      <c r="BW189" s="65"/>
      <c r="BX189" s="65"/>
      <c r="BY189" s="65"/>
      <c r="BZ189" s="65"/>
      <c r="CA189" s="65"/>
      <c r="CB189" s="65"/>
      <c r="CC189" s="65"/>
      <c r="CD189" s="65"/>
      <c r="CE189" s="65"/>
      <c r="CF189" s="65"/>
      <c r="CG189" s="65"/>
      <c r="CH189" s="65"/>
      <c r="CI189" s="65"/>
      <c r="CJ189" s="65"/>
      <c r="CK189" s="65"/>
      <c r="CL189" s="65"/>
      <c r="CM189" s="65"/>
      <c r="CN189" s="65"/>
      <c r="CO189" s="65"/>
      <c r="CP189" s="65"/>
      <c r="CQ189" s="65"/>
      <c r="CR189" s="65"/>
      <c r="CS189" s="65"/>
      <c r="CT189" s="65"/>
      <c r="CU189" s="65"/>
      <c r="CV189" s="65"/>
      <c r="CW189" s="65"/>
      <c r="CX189" s="65"/>
      <c r="CY189" s="65"/>
      <c r="CZ189" s="65"/>
      <c r="DA189" s="65"/>
      <c r="DB189" s="65"/>
      <c r="DC189" s="65"/>
      <c r="DD189" s="65"/>
      <c r="DE189" s="65"/>
      <c r="DF189" s="65"/>
      <c r="DG189" s="65"/>
      <c r="DH189" s="65"/>
      <c r="DI189" s="65"/>
      <c r="DJ189" s="65"/>
      <c r="DK189" s="65"/>
      <c r="DL189" s="65"/>
      <c r="DM189" s="65"/>
      <c r="DN189" s="65"/>
      <c r="DO189" s="65"/>
      <c r="DP189" s="65"/>
      <c r="DQ189" s="65"/>
      <c r="DR189" s="65"/>
      <c r="DS189" s="65"/>
      <c r="DT189" s="65"/>
      <c r="DU189" s="65"/>
      <c r="DV189" s="65"/>
      <c r="DW189" s="65"/>
      <c r="DX189" s="65"/>
      <c r="DY189" s="65"/>
      <c r="DZ189" s="65"/>
      <c r="EA189" s="65"/>
      <c r="EB189" s="65"/>
      <c r="EC189" s="65"/>
      <c r="ED189" s="65"/>
      <c r="EE189" s="65"/>
      <c r="EF189" s="65"/>
      <c r="EG189" s="65"/>
      <c r="EH189" s="65"/>
      <c r="EI189" s="65"/>
      <c r="EJ189" s="65"/>
      <c r="EK189" s="65"/>
      <c r="EL189" s="65"/>
      <c r="EM189" s="65"/>
      <c r="EN189" s="65"/>
      <c r="EO189" s="65"/>
      <c r="EP189" s="65"/>
      <c r="EQ189" s="65"/>
      <c r="ER189" s="65"/>
      <c r="ES189" s="65"/>
      <c r="ET189" s="65"/>
      <c r="EU189" s="65"/>
      <c r="EV189" s="65"/>
      <c r="EW189" s="65"/>
      <c r="EX189" s="65"/>
      <c r="EY189" s="65"/>
      <c r="EZ189" s="65"/>
      <c r="FA189" s="65"/>
      <c r="FB189" s="65"/>
      <c r="FC189" s="65"/>
      <c r="FD189" s="65"/>
      <c r="FE189" s="65"/>
      <c r="FF189" s="65"/>
      <c r="FG189" s="65"/>
      <c r="FH189" s="65"/>
      <c r="FI189" s="65"/>
      <c r="FJ189" s="65"/>
      <c r="FK189" s="65"/>
      <c r="FL189" s="65"/>
      <c r="FM189" s="65"/>
      <c r="FN189" s="65"/>
      <c r="FO189" s="65"/>
      <c r="FP189" s="65"/>
      <c r="FQ189" s="65"/>
      <c r="FR189" s="65"/>
      <c r="FS189" s="65"/>
      <c r="FT189" s="65"/>
      <c r="FU189" s="65"/>
    </row>
    <row r="190" spans="2:177" s="1" customFormat="1">
      <c r="B190" s="2"/>
      <c r="C190" s="2"/>
      <c r="D190" s="2"/>
      <c r="E190" s="2"/>
      <c r="F190" s="2"/>
      <c r="G190" s="2"/>
      <c r="H190" s="2"/>
      <c r="I190" s="2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  <c r="AA190" s="65"/>
      <c r="AB190" s="65"/>
      <c r="AC190" s="65"/>
      <c r="AD190" s="65"/>
      <c r="AE190" s="65"/>
      <c r="AF190" s="65"/>
      <c r="AG190" s="65"/>
      <c r="AH190" s="65"/>
      <c r="AI190" s="65"/>
      <c r="AJ190" s="65"/>
      <c r="AK190" s="65"/>
      <c r="AL190" s="65"/>
      <c r="AM190" s="65"/>
      <c r="AN190" s="65"/>
      <c r="AO190" s="65"/>
      <c r="AP190" s="65"/>
      <c r="AQ190" s="65"/>
      <c r="AR190" s="65"/>
      <c r="AS190" s="65"/>
      <c r="AT190" s="65"/>
      <c r="AU190" s="65"/>
      <c r="AV190" s="65"/>
      <c r="AW190" s="65"/>
      <c r="AX190" s="65"/>
      <c r="AY190" s="65"/>
      <c r="AZ190" s="65"/>
      <c r="BA190" s="65"/>
      <c r="BB190" s="65"/>
      <c r="BC190" s="65"/>
      <c r="BD190" s="65"/>
      <c r="BE190" s="65"/>
      <c r="BF190" s="65"/>
      <c r="BG190" s="65"/>
      <c r="BH190" s="65"/>
      <c r="BI190" s="65"/>
      <c r="BJ190" s="65"/>
      <c r="BK190" s="65"/>
      <c r="BL190" s="65"/>
      <c r="BM190" s="65"/>
      <c r="BN190" s="65"/>
      <c r="BO190" s="65"/>
      <c r="BP190" s="65"/>
      <c r="BQ190" s="65"/>
      <c r="BR190" s="65"/>
      <c r="BS190" s="65"/>
      <c r="BT190" s="65"/>
      <c r="BU190" s="65"/>
      <c r="BV190" s="65"/>
      <c r="BW190" s="65"/>
      <c r="BX190" s="65"/>
      <c r="BY190" s="65"/>
      <c r="BZ190" s="65"/>
      <c r="CA190" s="65"/>
      <c r="CB190" s="65"/>
      <c r="CC190" s="65"/>
      <c r="CD190" s="65"/>
      <c r="CE190" s="65"/>
      <c r="CF190" s="65"/>
      <c r="CG190" s="65"/>
      <c r="CH190" s="65"/>
      <c r="CI190" s="65"/>
      <c r="CJ190" s="65"/>
      <c r="CK190" s="65"/>
      <c r="CL190" s="65"/>
      <c r="CM190" s="65"/>
      <c r="CN190" s="65"/>
      <c r="CO190" s="65"/>
      <c r="CP190" s="65"/>
      <c r="CQ190" s="65"/>
      <c r="CR190" s="65"/>
      <c r="CS190" s="65"/>
      <c r="CT190" s="65"/>
      <c r="CU190" s="65"/>
      <c r="CV190" s="65"/>
      <c r="CW190" s="65"/>
      <c r="CX190" s="65"/>
      <c r="CY190" s="65"/>
      <c r="CZ190" s="65"/>
      <c r="DA190" s="65"/>
      <c r="DB190" s="65"/>
      <c r="DC190" s="65"/>
      <c r="DD190" s="65"/>
      <c r="DE190" s="65"/>
      <c r="DF190" s="65"/>
      <c r="DG190" s="65"/>
      <c r="DH190" s="65"/>
      <c r="DI190" s="65"/>
      <c r="DJ190" s="65"/>
      <c r="DK190" s="65"/>
      <c r="DL190" s="65"/>
      <c r="DM190" s="65"/>
      <c r="DN190" s="65"/>
      <c r="DO190" s="65"/>
      <c r="DP190" s="65"/>
      <c r="DQ190" s="65"/>
      <c r="DR190" s="65"/>
      <c r="DS190" s="65"/>
      <c r="DT190" s="65"/>
      <c r="DU190" s="65"/>
      <c r="DV190" s="65"/>
      <c r="DW190" s="65"/>
      <c r="DX190" s="65"/>
      <c r="DY190" s="65"/>
      <c r="DZ190" s="65"/>
      <c r="EA190" s="65"/>
      <c r="EB190" s="65"/>
      <c r="EC190" s="65"/>
      <c r="ED190" s="65"/>
      <c r="EE190" s="65"/>
      <c r="EF190" s="65"/>
      <c r="EG190" s="65"/>
      <c r="EH190" s="65"/>
      <c r="EI190" s="65"/>
      <c r="EJ190" s="65"/>
      <c r="EK190" s="65"/>
      <c r="EL190" s="65"/>
      <c r="EM190" s="65"/>
      <c r="EN190" s="65"/>
      <c r="EO190" s="65"/>
      <c r="EP190" s="65"/>
      <c r="EQ190" s="65"/>
      <c r="ER190" s="65"/>
      <c r="ES190" s="65"/>
      <c r="ET190" s="65"/>
      <c r="EU190" s="65"/>
      <c r="EV190" s="65"/>
      <c r="EW190" s="65"/>
      <c r="EX190" s="65"/>
      <c r="EY190" s="65"/>
      <c r="EZ190" s="65"/>
      <c r="FA190" s="65"/>
      <c r="FB190" s="65"/>
      <c r="FC190" s="65"/>
      <c r="FD190" s="65"/>
      <c r="FE190" s="65"/>
      <c r="FF190" s="65"/>
      <c r="FG190" s="65"/>
      <c r="FH190" s="65"/>
      <c r="FI190" s="65"/>
      <c r="FJ190" s="65"/>
      <c r="FK190" s="65"/>
      <c r="FL190" s="65"/>
      <c r="FM190" s="65"/>
      <c r="FN190" s="65"/>
      <c r="FO190" s="65"/>
      <c r="FP190" s="65"/>
      <c r="FQ190" s="65"/>
      <c r="FR190" s="65"/>
      <c r="FS190" s="65"/>
      <c r="FT190" s="65"/>
      <c r="FU190" s="65"/>
    </row>
    <row r="191" spans="2:177" s="1" customFormat="1">
      <c r="B191" s="2"/>
      <c r="C191" s="2"/>
      <c r="D191" s="2"/>
      <c r="E191" s="2"/>
      <c r="F191" s="2"/>
      <c r="G191" s="2"/>
      <c r="H191" s="2"/>
      <c r="I191" s="2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5"/>
      <c r="Z191" s="65"/>
      <c r="AA191" s="65"/>
      <c r="AB191" s="65"/>
      <c r="AC191" s="65"/>
      <c r="AD191" s="65"/>
      <c r="AE191" s="65"/>
      <c r="AF191" s="65"/>
      <c r="AG191" s="65"/>
      <c r="AH191" s="65"/>
      <c r="AI191" s="65"/>
      <c r="AJ191" s="65"/>
      <c r="AK191" s="65"/>
      <c r="AL191" s="65"/>
      <c r="AM191" s="65"/>
      <c r="AN191" s="65"/>
      <c r="AO191" s="65"/>
      <c r="AP191" s="65"/>
      <c r="AQ191" s="65"/>
      <c r="AR191" s="65"/>
      <c r="AS191" s="65"/>
      <c r="AT191" s="65"/>
      <c r="AU191" s="65"/>
      <c r="AV191" s="65"/>
      <c r="AW191" s="65"/>
      <c r="AX191" s="65"/>
      <c r="AY191" s="65"/>
      <c r="AZ191" s="65"/>
      <c r="BA191" s="65"/>
      <c r="BB191" s="65"/>
      <c r="BC191" s="65"/>
      <c r="BD191" s="65"/>
      <c r="BE191" s="65"/>
      <c r="BF191" s="65"/>
      <c r="BG191" s="65"/>
      <c r="BH191" s="65"/>
      <c r="BI191" s="65"/>
      <c r="BJ191" s="65"/>
      <c r="BK191" s="65"/>
      <c r="BL191" s="65"/>
      <c r="BM191" s="65"/>
      <c r="BN191" s="65"/>
      <c r="BO191" s="65"/>
      <c r="BP191" s="65"/>
      <c r="BQ191" s="65"/>
      <c r="BR191" s="65"/>
      <c r="BS191" s="65"/>
      <c r="BT191" s="65"/>
      <c r="BU191" s="65"/>
      <c r="BV191" s="65"/>
      <c r="BW191" s="65"/>
      <c r="BX191" s="65"/>
      <c r="BY191" s="65"/>
      <c r="BZ191" s="65"/>
      <c r="CA191" s="65"/>
      <c r="CB191" s="65"/>
      <c r="CC191" s="65"/>
      <c r="CD191" s="65"/>
      <c r="CE191" s="65"/>
      <c r="CF191" s="65"/>
      <c r="CG191" s="65"/>
      <c r="CH191" s="65"/>
      <c r="CI191" s="65"/>
      <c r="CJ191" s="65"/>
      <c r="CK191" s="65"/>
      <c r="CL191" s="65"/>
      <c r="CM191" s="65"/>
      <c r="CN191" s="65"/>
      <c r="CO191" s="65"/>
      <c r="CP191" s="65"/>
      <c r="CQ191" s="65"/>
      <c r="CR191" s="65"/>
      <c r="CS191" s="65"/>
      <c r="CT191" s="65"/>
      <c r="CU191" s="65"/>
      <c r="CV191" s="65"/>
      <c r="CW191" s="65"/>
      <c r="CX191" s="65"/>
      <c r="CY191" s="65"/>
      <c r="CZ191" s="65"/>
      <c r="DA191" s="65"/>
      <c r="DB191" s="65"/>
      <c r="DC191" s="65"/>
      <c r="DD191" s="65"/>
      <c r="DE191" s="65"/>
      <c r="DF191" s="65"/>
      <c r="DG191" s="65"/>
      <c r="DH191" s="65"/>
      <c r="DI191" s="65"/>
      <c r="DJ191" s="65"/>
      <c r="DK191" s="65"/>
      <c r="DL191" s="65"/>
      <c r="DM191" s="65"/>
      <c r="DN191" s="65"/>
      <c r="DO191" s="65"/>
      <c r="DP191" s="65"/>
      <c r="DQ191" s="65"/>
      <c r="DR191" s="65"/>
      <c r="DS191" s="65"/>
      <c r="DT191" s="65"/>
      <c r="DU191" s="65"/>
      <c r="DV191" s="65"/>
      <c r="DW191" s="65"/>
      <c r="DX191" s="65"/>
      <c r="DY191" s="65"/>
      <c r="DZ191" s="65"/>
      <c r="EA191" s="65"/>
      <c r="EB191" s="65"/>
      <c r="EC191" s="65"/>
      <c r="ED191" s="65"/>
      <c r="EE191" s="65"/>
      <c r="EF191" s="65"/>
      <c r="EG191" s="65"/>
      <c r="EH191" s="65"/>
      <c r="EI191" s="65"/>
      <c r="EJ191" s="65"/>
      <c r="EK191" s="65"/>
      <c r="EL191" s="65"/>
      <c r="EM191" s="65"/>
      <c r="EN191" s="65"/>
      <c r="EO191" s="65"/>
      <c r="EP191" s="65"/>
      <c r="EQ191" s="65"/>
      <c r="ER191" s="65"/>
      <c r="ES191" s="65"/>
      <c r="ET191" s="65"/>
      <c r="EU191" s="65"/>
      <c r="EV191" s="65"/>
      <c r="EW191" s="65"/>
      <c r="EX191" s="65"/>
      <c r="EY191" s="65"/>
      <c r="EZ191" s="65"/>
      <c r="FA191" s="65"/>
      <c r="FB191" s="65"/>
      <c r="FC191" s="65"/>
      <c r="FD191" s="65"/>
      <c r="FE191" s="65"/>
      <c r="FF191" s="65"/>
      <c r="FG191" s="65"/>
      <c r="FH191" s="65"/>
      <c r="FI191" s="65"/>
      <c r="FJ191" s="65"/>
      <c r="FK191" s="65"/>
      <c r="FL191" s="65"/>
      <c r="FM191" s="65"/>
      <c r="FN191" s="65"/>
      <c r="FO191" s="65"/>
      <c r="FP191" s="65"/>
      <c r="FQ191" s="65"/>
      <c r="FR191" s="65"/>
      <c r="FS191" s="65"/>
      <c r="FT191" s="65"/>
      <c r="FU191" s="65"/>
    </row>
    <row r="192" spans="2:177" s="1" customFormat="1">
      <c r="B192" s="2"/>
      <c r="C192" s="2"/>
      <c r="D192" s="2"/>
      <c r="E192" s="2"/>
      <c r="F192" s="2"/>
      <c r="G192" s="2"/>
      <c r="H192" s="2"/>
      <c r="I192" s="2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  <c r="Y192" s="65"/>
      <c r="Z192" s="65"/>
      <c r="AA192" s="65"/>
      <c r="AB192" s="65"/>
      <c r="AC192" s="65"/>
      <c r="AD192" s="65"/>
      <c r="AE192" s="65"/>
      <c r="AF192" s="65"/>
      <c r="AG192" s="65"/>
      <c r="AH192" s="65"/>
      <c r="AI192" s="65"/>
      <c r="AJ192" s="65"/>
      <c r="AK192" s="65"/>
      <c r="AL192" s="65"/>
      <c r="AM192" s="65"/>
      <c r="AN192" s="65"/>
      <c r="AO192" s="65"/>
      <c r="AP192" s="65"/>
      <c r="AQ192" s="65"/>
      <c r="AR192" s="65"/>
      <c r="AS192" s="65"/>
      <c r="AT192" s="65"/>
      <c r="AU192" s="65"/>
      <c r="AV192" s="65"/>
      <c r="AW192" s="65"/>
      <c r="AX192" s="65"/>
      <c r="AY192" s="65"/>
      <c r="AZ192" s="65"/>
      <c r="BA192" s="65"/>
      <c r="BB192" s="65"/>
      <c r="BC192" s="65"/>
      <c r="BD192" s="65"/>
      <c r="BE192" s="65"/>
      <c r="BF192" s="65"/>
      <c r="BG192" s="65"/>
      <c r="BH192" s="65"/>
      <c r="BI192" s="65"/>
      <c r="BJ192" s="65"/>
      <c r="BK192" s="65"/>
      <c r="BL192" s="65"/>
      <c r="BM192" s="65"/>
      <c r="BN192" s="65"/>
      <c r="BO192" s="65"/>
      <c r="BP192" s="65"/>
      <c r="BQ192" s="65"/>
      <c r="BR192" s="65"/>
      <c r="BS192" s="65"/>
      <c r="BT192" s="65"/>
      <c r="BU192" s="65"/>
      <c r="BV192" s="65"/>
      <c r="BW192" s="65"/>
      <c r="BX192" s="65"/>
      <c r="BY192" s="65"/>
      <c r="BZ192" s="65"/>
      <c r="CA192" s="65"/>
      <c r="CB192" s="65"/>
      <c r="CC192" s="65"/>
      <c r="CD192" s="65"/>
      <c r="CE192" s="65"/>
      <c r="CF192" s="65"/>
      <c r="CG192" s="65"/>
      <c r="CH192" s="65"/>
      <c r="CI192" s="65"/>
      <c r="CJ192" s="65"/>
      <c r="CK192" s="65"/>
      <c r="CL192" s="65"/>
      <c r="CM192" s="65"/>
      <c r="CN192" s="65"/>
      <c r="CO192" s="65"/>
      <c r="CP192" s="65"/>
      <c r="CQ192" s="65"/>
      <c r="CR192" s="65"/>
      <c r="CS192" s="65"/>
      <c r="CT192" s="65"/>
      <c r="CU192" s="65"/>
      <c r="CV192" s="65"/>
      <c r="CW192" s="65"/>
      <c r="CX192" s="65"/>
      <c r="CY192" s="65"/>
      <c r="CZ192" s="65"/>
      <c r="DA192" s="65"/>
      <c r="DB192" s="65"/>
      <c r="DC192" s="65"/>
      <c r="DD192" s="65"/>
      <c r="DE192" s="65"/>
      <c r="DF192" s="65"/>
      <c r="DG192" s="65"/>
      <c r="DH192" s="65"/>
      <c r="DI192" s="65"/>
      <c r="DJ192" s="65"/>
      <c r="DK192" s="65"/>
      <c r="DL192" s="65"/>
      <c r="DM192" s="65"/>
      <c r="DN192" s="65"/>
      <c r="DO192" s="65"/>
      <c r="DP192" s="65"/>
      <c r="DQ192" s="65"/>
      <c r="DR192" s="65"/>
      <c r="DS192" s="65"/>
      <c r="DT192" s="65"/>
      <c r="DU192" s="65"/>
      <c r="DV192" s="65"/>
      <c r="DW192" s="65"/>
      <c r="DX192" s="65"/>
      <c r="DY192" s="65"/>
      <c r="DZ192" s="65"/>
      <c r="EA192" s="65"/>
      <c r="EB192" s="65"/>
      <c r="EC192" s="65"/>
      <c r="ED192" s="65"/>
      <c r="EE192" s="65"/>
      <c r="EF192" s="65"/>
      <c r="EG192" s="65"/>
      <c r="EH192" s="65"/>
      <c r="EI192" s="65"/>
      <c r="EJ192" s="65"/>
      <c r="EK192" s="65"/>
      <c r="EL192" s="65"/>
      <c r="EM192" s="65"/>
      <c r="EN192" s="65"/>
      <c r="EO192" s="65"/>
      <c r="EP192" s="65"/>
      <c r="EQ192" s="65"/>
      <c r="ER192" s="65"/>
      <c r="ES192" s="65"/>
      <c r="ET192" s="65"/>
      <c r="EU192" s="65"/>
      <c r="EV192" s="65"/>
      <c r="EW192" s="65"/>
      <c r="EX192" s="65"/>
      <c r="EY192" s="65"/>
      <c r="EZ192" s="65"/>
      <c r="FA192" s="65"/>
      <c r="FB192" s="65"/>
      <c r="FC192" s="65"/>
      <c r="FD192" s="65"/>
      <c r="FE192" s="65"/>
      <c r="FF192" s="65"/>
      <c r="FG192" s="65"/>
      <c r="FH192" s="65"/>
      <c r="FI192" s="65"/>
      <c r="FJ192" s="65"/>
      <c r="FK192" s="65"/>
      <c r="FL192" s="65"/>
      <c r="FM192" s="65"/>
      <c r="FN192" s="65"/>
      <c r="FO192" s="65"/>
      <c r="FP192" s="65"/>
      <c r="FQ192" s="65"/>
      <c r="FR192" s="65"/>
      <c r="FS192" s="65"/>
      <c r="FT192" s="65"/>
      <c r="FU192" s="65"/>
    </row>
    <row r="193" spans="2:177" s="1" customFormat="1">
      <c r="B193" s="2"/>
      <c r="C193" s="2"/>
      <c r="D193" s="2"/>
      <c r="E193" s="2"/>
      <c r="F193" s="2"/>
      <c r="G193" s="2"/>
      <c r="H193" s="2"/>
      <c r="I193" s="2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/>
      <c r="Z193" s="65"/>
      <c r="AA193" s="65"/>
      <c r="AB193" s="65"/>
      <c r="AC193" s="65"/>
      <c r="AD193" s="65"/>
      <c r="AE193" s="65"/>
      <c r="AF193" s="65"/>
      <c r="AG193" s="65"/>
      <c r="AH193" s="65"/>
      <c r="AI193" s="65"/>
      <c r="AJ193" s="65"/>
      <c r="AK193" s="65"/>
      <c r="AL193" s="65"/>
      <c r="AM193" s="65"/>
      <c r="AN193" s="65"/>
      <c r="AO193" s="65"/>
      <c r="AP193" s="65"/>
      <c r="AQ193" s="65"/>
      <c r="AR193" s="65"/>
      <c r="AS193" s="65"/>
      <c r="AT193" s="65"/>
      <c r="AU193" s="65"/>
      <c r="AV193" s="65"/>
      <c r="AW193" s="65"/>
      <c r="AX193" s="65"/>
      <c r="AY193" s="65"/>
      <c r="AZ193" s="65"/>
      <c r="BA193" s="65"/>
      <c r="BB193" s="65"/>
      <c r="BC193" s="65"/>
      <c r="BD193" s="65"/>
      <c r="BE193" s="65"/>
      <c r="BF193" s="65"/>
      <c r="BG193" s="65"/>
      <c r="BH193" s="65"/>
      <c r="BI193" s="65"/>
      <c r="BJ193" s="65"/>
      <c r="BK193" s="65"/>
      <c r="BL193" s="65"/>
      <c r="BM193" s="65"/>
      <c r="BN193" s="65"/>
      <c r="BO193" s="65"/>
      <c r="BP193" s="65"/>
      <c r="BQ193" s="65"/>
      <c r="BR193" s="65"/>
      <c r="BS193" s="65"/>
      <c r="BT193" s="65"/>
      <c r="BU193" s="65"/>
      <c r="BV193" s="65"/>
      <c r="BW193" s="65"/>
      <c r="BX193" s="65"/>
      <c r="BY193" s="65"/>
      <c r="BZ193" s="65"/>
      <c r="CA193" s="65"/>
      <c r="CB193" s="65"/>
      <c r="CC193" s="65"/>
      <c r="CD193" s="65"/>
      <c r="CE193" s="65"/>
      <c r="CF193" s="65"/>
      <c r="CG193" s="65"/>
      <c r="CH193" s="65"/>
      <c r="CI193" s="65"/>
      <c r="CJ193" s="65"/>
      <c r="CK193" s="65"/>
      <c r="CL193" s="65"/>
      <c r="CM193" s="65"/>
      <c r="CN193" s="65"/>
      <c r="CO193" s="65"/>
      <c r="CP193" s="65"/>
      <c r="CQ193" s="65"/>
      <c r="CR193" s="65"/>
      <c r="CS193" s="65"/>
      <c r="CT193" s="65"/>
      <c r="CU193" s="65"/>
      <c r="CV193" s="65"/>
      <c r="CW193" s="65"/>
      <c r="CX193" s="65"/>
      <c r="CY193" s="65"/>
      <c r="CZ193" s="65"/>
      <c r="DA193" s="65"/>
      <c r="DB193" s="65"/>
      <c r="DC193" s="65"/>
      <c r="DD193" s="65"/>
      <c r="DE193" s="65"/>
      <c r="DF193" s="65"/>
      <c r="DG193" s="65"/>
      <c r="DH193" s="65"/>
      <c r="DI193" s="65"/>
      <c r="DJ193" s="65"/>
      <c r="DK193" s="65"/>
      <c r="DL193" s="65"/>
      <c r="DM193" s="65"/>
      <c r="DN193" s="65"/>
      <c r="DO193" s="65"/>
      <c r="DP193" s="65"/>
      <c r="DQ193" s="65"/>
      <c r="DR193" s="65"/>
      <c r="DS193" s="65"/>
      <c r="DT193" s="65"/>
      <c r="DU193" s="65"/>
      <c r="DV193" s="65"/>
      <c r="DW193" s="65"/>
      <c r="DX193" s="65"/>
      <c r="DY193" s="65"/>
      <c r="DZ193" s="65"/>
      <c r="EA193" s="65"/>
      <c r="EB193" s="65"/>
      <c r="EC193" s="65"/>
      <c r="ED193" s="65"/>
      <c r="EE193" s="65"/>
      <c r="EF193" s="65"/>
      <c r="EG193" s="65"/>
      <c r="EH193" s="65"/>
      <c r="EI193" s="65"/>
      <c r="EJ193" s="65"/>
      <c r="EK193" s="65"/>
      <c r="EL193" s="65"/>
      <c r="EM193" s="65"/>
      <c r="EN193" s="65"/>
      <c r="EO193" s="65"/>
      <c r="EP193" s="65"/>
      <c r="EQ193" s="65"/>
      <c r="ER193" s="65"/>
      <c r="ES193" s="65"/>
      <c r="ET193" s="65"/>
      <c r="EU193" s="65"/>
      <c r="EV193" s="65"/>
      <c r="EW193" s="65"/>
      <c r="EX193" s="65"/>
      <c r="EY193" s="65"/>
      <c r="EZ193" s="65"/>
      <c r="FA193" s="65"/>
      <c r="FB193" s="65"/>
      <c r="FC193" s="65"/>
      <c r="FD193" s="65"/>
      <c r="FE193" s="65"/>
      <c r="FF193" s="65"/>
      <c r="FG193" s="65"/>
      <c r="FH193" s="65"/>
      <c r="FI193" s="65"/>
      <c r="FJ193" s="65"/>
      <c r="FK193" s="65"/>
      <c r="FL193" s="65"/>
      <c r="FM193" s="65"/>
      <c r="FN193" s="65"/>
      <c r="FO193" s="65"/>
      <c r="FP193" s="65"/>
      <c r="FQ193" s="65"/>
      <c r="FR193" s="65"/>
      <c r="FS193" s="65"/>
      <c r="FT193" s="65"/>
      <c r="FU193" s="65"/>
    </row>
    <row r="194" spans="2:177" s="1" customFormat="1"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5"/>
      <c r="Y194" s="65"/>
      <c r="Z194" s="65"/>
      <c r="AA194" s="65"/>
      <c r="AB194" s="65"/>
      <c r="AC194" s="65"/>
      <c r="AD194" s="65"/>
      <c r="AE194" s="65"/>
      <c r="AF194" s="65"/>
      <c r="AG194" s="65"/>
      <c r="AH194" s="65"/>
      <c r="AI194" s="65"/>
      <c r="AJ194" s="65"/>
      <c r="AK194" s="65"/>
      <c r="AL194" s="65"/>
      <c r="AM194" s="65"/>
      <c r="AN194" s="65"/>
      <c r="AO194" s="65"/>
      <c r="AP194" s="65"/>
      <c r="AQ194" s="65"/>
      <c r="AR194" s="65"/>
      <c r="AS194" s="65"/>
      <c r="AT194" s="65"/>
      <c r="AU194" s="65"/>
      <c r="AV194" s="65"/>
      <c r="AW194" s="65"/>
      <c r="AX194" s="65"/>
      <c r="AY194" s="65"/>
      <c r="AZ194" s="65"/>
      <c r="BA194" s="65"/>
      <c r="BB194" s="65"/>
      <c r="BC194" s="65"/>
      <c r="BD194" s="65"/>
      <c r="BE194" s="65"/>
      <c r="BF194" s="65"/>
      <c r="BG194" s="65"/>
      <c r="BH194" s="65"/>
      <c r="BI194" s="65"/>
      <c r="BJ194" s="65"/>
      <c r="BK194" s="65"/>
      <c r="BL194" s="65"/>
      <c r="BM194" s="65"/>
      <c r="BN194" s="65"/>
      <c r="BO194" s="65"/>
      <c r="BP194" s="65"/>
      <c r="BQ194" s="65"/>
      <c r="BR194" s="65"/>
      <c r="BS194" s="65"/>
      <c r="BT194" s="65"/>
      <c r="BU194" s="65"/>
      <c r="BV194" s="65"/>
      <c r="BW194" s="65"/>
      <c r="BX194" s="65"/>
      <c r="BY194" s="65"/>
      <c r="BZ194" s="65"/>
      <c r="CA194" s="65"/>
      <c r="CB194" s="65"/>
      <c r="CC194" s="65"/>
      <c r="CD194" s="65"/>
      <c r="CE194" s="65"/>
      <c r="CF194" s="65"/>
      <c r="CG194" s="65"/>
      <c r="CH194" s="65"/>
      <c r="CI194" s="65"/>
      <c r="CJ194" s="65"/>
      <c r="CK194" s="65"/>
      <c r="CL194" s="65"/>
      <c r="CM194" s="65"/>
      <c r="CN194" s="65"/>
      <c r="CO194" s="65"/>
      <c r="CP194" s="65"/>
      <c r="CQ194" s="65"/>
      <c r="CR194" s="65"/>
      <c r="CS194" s="65"/>
      <c r="CT194" s="65"/>
      <c r="CU194" s="65"/>
      <c r="CV194" s="65"/>
      <c r="CW194" s="65"/>
      <c r="CX194" s="65"/>
      <c r="CY194" s="65"/>
      <c r="CZ194" s="65"/>
      <c r="DA194" s="65"/>
      <c r="DB194" s="65"/>
      <c r="DC194" s="65"/>
      <c r="DD194" s="65"/>
      <c r="DE194" s="65"/>
      <c r="DF194" s="65"/>
      <c r="DG194" s="65"/>
      <c r="DH194" s="65"/>
      <c r="DI194" s="65"/>
      <c r="DJ194" s="65"/>
      <c r="DK194" s="65"/>
      <c r="DL194" s="65"/>
      <c r="DM194" s="65"/>
      <c r="DN194" s="65"/>
      <c r="DO194" s="65"/>
      <c r="DP194" s="65"/>
      <c r="DQ194" s="65"/>
      <c r="DR194" s="65"/>
      <c r="DS194" s="65"/>
      <c r="DT194" s="65"/>
      <c r="DU194" s="65"/>
      <c r="DV194" s="65"/>
      <c r="DW194" s="65"/>
      <c r="DX194" s="65"/>
      <c r="DY194" s="65"/>
      <c r="DZ194" s="65"/>
      <c r="EA194" s="65"/>
      <c r="EB194" s="65"/>
      <c r="EC194" s="65"/>
      <c r="ED194" s="65"/>
      <c r="EE194" s="65"/>
      <c r="EF194" s="65"/>
      <c r="EG194" s="65"/>
      <c r="EH194" s="65"/>
      <c r="EI194" s="65"/>
      <c r="EJ194" s="65"/>
      <c r="EK194" s="65"/>
      <c r="EL194" s="65"/>
      <c r="EM194" s="65"/>
      <c r="EN194" s="65"/>
      <c r="EO194" s="65"/>
      <c r="EP194" s="65"/>
      <c r="EQ194" s="65"/>
      <c r="ER194" s="65"/>
      <c r="ES194" s="65"/>
      <c r="ET194" s="65"/>
      <c r="EU194" s="65"/>
      <c r="EV194" s="65"/>
      <c r="EW194" s="65"/>
      <c r="EX194" s="65"/>
      <c r="EY194" s="65"/>
      <c r="EZ194" s="65"/>
      <c r="FA194" s="65"/>
      <c r="FB194" s="65"/>
      <c r="FC194" s="65"/>
      <c r="FD194" s="65"/>
      <c r="FE194" s="65"/>
      <c r="FF194" s="65"/>
      <c r="FG194" s="65"/>
      <c r="FH194" s="65"/>
      <c r="FI194" s="65"/>
      <c r="FJ194" s="65"/>
      <c r="FK194" s="65"/>
      <c r="FL194" s="65"/>
      <c r="FM194" s="65"/>
      <c r="FN194" s="65"/>
      <c r="FO194" s="65"/>
      <c r="FP194" s="65"/>
      <c r="FQ194" s="65"/>
      <c r="FR194" s="65"/>
      <c r="FS194" s="65"/>
      <c r="FT194" s="65"/>
      <c r="FU194" s="65"/>
    </row>
    <row r="195" spans="2:177" s="1" customFormat="1"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/>
      <c r="Z195" s="65"/>
      <c r="AA195" s="65"/>
      <c r="AB195" s="65"/>
      <c r="AC195" s="65"/>
      <c r="AD195" s="65"/>
      <c r="AE195" s="65"/>
      <c r="AF195" s="65"/>
      <c r="AG195" s="65"/>
      <c r="AH195" s="65"/>
      <c r="AI195" s="65"/>
      <c r="AJ195" s="65"/>
      <c r="AK195" s="65"/>
      <c r="AL195" s="65"/>
      <c r="AM195" s="65"/>
      <c r="AN195" s="65"/>
      <c r="AO195" s="65"/>
      <c r="AP195" s="65"/>
      <c r="AQ195" s="65"/>
      <c r="AR195" s="65"/>
      <c r="AS195" s="65"/>
      <c r="AT195" s="65"/>
      <c r="AU195" s="65"/>
      <c r="AV195" s="65"/>
      <c r="AW195" s="65"/>
      <c r="AX195" s="65"/>
      <c r="AY195" s="65"/>
      <c r="AZ195" s="65"/>
      <c r="BA195" s="65"/>
      <c r="BB195" s="65"/>
      <c r="BC195" s="65"/>
      <c r="BD195" s="65"/>
      <c r="BE195" s="65"/>
      <c r="BF195" s="65"/>
      <c r="BG195" s="65"/>
      <c r="BH195" s="65"/>
      <c r="BI195" s="65"/>
      <c r="BJ195" s="65"/>
      <c r="BK195" s="65"/>
      <c r="BL195" s="65"/>
      <c r="BM195" s="65"/>
      <c r="BN195" s="65"/>
      <c r="BO195" s="65"/>
      <c r="BP195" s="65"/>
      <c r="BQ195" s="65"/>
      <c r="BR195" s="65"/>
      <c r="BS195" s="65"/>
      <c r="BT195" s="65"/>
      <c r="BU195" s="65"/>
      <c r="BV195" s="65"/>
      <c r="BW195" s="65"/>
      <c r="BX195" s="65"/>
      <c r="BY195" s="65"/>
      <c r="BZ195" s="65"/>
      <c r="CA195" s="65"/>
      <c r="CB195" s="65"/>
      <c r="CC195" s="65"/>
      <c r="CD195" s="65"/>
      <c r="CE195" s="65"/>
      <c r="CF195" s="65"/>
      <c r="CG195" s="65"/>
      <c r="CH195" s="65"/>
      <c r="CI195" s="65"/>
      <c r="CJ195" s="65"/>
      <c r="CK195" s="65"/>
      <c r="CL195" s="65"/>
      <c r="CM195" s="65"/>
      <c r="CN195" s="65"/>
      <c r="CO195" s="65"/>
      <c r="CP195" s="65"/>
      <c r="CQ195" s="65"/>
      <c r="CR195" s="65"/>
      <c r="CS195" s="65"/>
      <c r="CT195" s="65"/>
      <c r="CU195" s="65"/>
      <c r="CV195" s="65"/>
      <c r="CW195" s="65"/>
      <c r="CX195" s="65"/>
      <c r="CY195" s="65"/>
      <c r="CZ195" s="65"/>
      <c r="DA195" s="65"/>
      <c r="DB195" s="65"/>
      <c r="DC195" s="65"/>
      <c r="DD195" s="65"/>
      <c r="DE195" s="65"/>
      <c r="DF195" s="65"/>
      <c r="DG195" s="65"/>
      <c r="DH195" s="65"/>
      <c r="DI195" s="65"/>
      <c r="DJ195" s="65"/>
      <c r="DK195" s="65"/>
      <c r="DL195" s="65"/>
      <c r="DM195" s="65"/>
      <c r="DN195" s="65"/>
      <c r="DO195" s="65"/>
      <c r="DP195" s="65"/>
      <c r="DQ195" s="65"/>
      <c r="DR195" s="65"/>
      <c r="DS195" s="65"/>
      <c r="DT195" s="65"/>
      <c r="DU195" s="65"/>
      <c r="DV195" s="65"/>
      <c r="DW195" s="65"/>
      <c r="DX195" s="65"/>
      <c r="DY195" s="65"/>
      <c r="DZ195" s="65"/>
      <c r="EA195" s="65"/>
      <c r="EB195" s="65"/>
      <c r="EC195" s="65"/>
      <c r="ED195" s="65"/>
      <c r="EE195" s="65"/>
      <c r="EF195" s="65"/>
      <c r="EG195" s="65"/>
      <c r="EH195" s="65"/>
      <c r="EI195" s="65"/>
      <c r="EJ195" s="65"/>
      <c r="EK195" s="65"/>
      <c r="EL195" s="65"/>
      <c r="EM195" s="65"/>
      <c r="EN195" s="65"/>
      <c r="EO195" s="65"/>
      <c r="EP195" s="65"/>
      <c r="EQ195" s="65"/>
      <c r="ER195" s="65"/>
      <c r="ES195" s="65"/>
      <c r="ET195" s="65"/>
      <c r="EU195" s="65"/>
      <c r="EV195" s="65"/>
      <c r="EW195" s="65"/>
      <c r="EX195" s="65"/>
      <c r="EY195" s="65"/>
      <c r="EZ195" s="65"/>
      <c r="FA195" s="65"/>
      <c r="FB195" s="65"/>
      <c r="FC195" s="65"/>
      <c r="FD195" s="65"/>
      <c r="FE195" s="65"/>
      <c r="FF195" s="65"/>
      <c r="FG195" s="65"/>
      <c r="FH195" s="65"/>
      <c r="FI195" s="65"/>
      <c r="FJ195" s="65"/>
      <c r="FK195" s="65"/>
      <c r="FL195" s="65"/>
      <c r="FM195" s="65"/>
      <c r="FN195" s="65"/>
      <c r="FO195" s="65"/>
      <c r="FP195" s="65"/>
      <c r="FQ195" s="65"/>
      <c r="FR195" s="65"/>
      <c r="FS195" s="65"/>
      <c r="FT195" s="65"/>
      <c r="FU195" s="65"/>
    </row>
    <row r="196" spans="2:177" s="1" customFormat="1"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  <c r="AM196" s="65"/>
      <c r="AN196" s="65"/>
      <c r="AO196" s="65"/>
      <c r="AP196" s="65"/>
      <c r="AQ196" s="65"/>
      <c r="AR196" s="65"/>
      <c r="AS196" s="65"/>
      <c r="AT196" s="65"/>
      <c r="AU196" s="65"/>
      <c r="AV196" s="65"/>
      <c r="AW196" s="65"/>
      <c r="AX196" s="65"/>
      <c r="AY196" s="65"/>
      <c r="AZ196" s="65"/>
      <c r="BA196" s="65"/>
      <c r="BB196" s="65"/>
      <c r="BC196" s="65"/>
      <c r="BD196" s="65"/>
      <c r="BE196" s="65"/>
      <c r="BF196" s="65"/>
      <c r="BG196" s="65"/>
      <c r="BH196" s="65"/>
      <c r="BI196" s="65"/>
      <c r="BJ196" s="65"/>
      <c r="BK196" s="65"/>
      <c r="BL196" s="65"/>
      <c r="BM196" s="65"/>
      <c r="BN196" s="65"/>
      <c r="BO196" s="65"/>
      <c r="BP196" s="65"/>
      <c r="BQ196" s="65"/>
      <c r="BR196" s="65"/>
      <c r="BS196" s="65"/>
      <c r="BT196" s="65"/>
      <c r="BU196" s="65"/>
      <c r="BV196" s="65"/>
      <c r="BW196" s="65"/>
      <c r="BX196" s="65"/>
      <c r="BY196" s="65"/>
      <c r="BZ196" s="65"/>
      <c r="CA196" s="65"/>
      <c r="CB196" s="65"/>
      <c r="CC196" s="65"/>
      <c r="CD196" s="65"/>
      <c r="CE196" s="65"/>
      <c r="CF196" s="65"/>
      <c r="CG196" s="65"/>
      <c r="CH196" s="65"/>
      <c r="CI196" s="65"/>
      <c r="CJ196" s="65"/>
      <c r="CK196" s="65"/>
      <c r="CL196" s="65"/>
      <c r="CM196" s="65"/>
      <c r="CN196" s="65"/>
      <c r="CO196" s="65"/>
      <c r="CP196" s="65"/>
      <c r="CQ196" s="65"/>
      <c r="CR196" s="65"/>
      <c r="CS196" s="65"/>
      <c r="CT196" s="65"/>
      <c r="CU196" s="65"/>
      <c r="CV196" s="65"/>
      <c r="CW196" s="65"/>
      <c r="CX196" s="65"/>
      <c r="CY196" s="65"/>
      <c r="CZ196" s="65"/>
      <c r="DA196" s="65"/>
      <c r="DB196" s="65"/>
      <c r="DC196" s="65"/>
      <c r="DD196" s="65"/>
      <c r="DE196" s="65"/>
      <c r="DF196" s="65"/>
      <c r="DG196" s="65"/>
      <c r="DH196" s="65"/>
      <c r="DI196" s="65"/>
      <c r="DJ196" s="65"/>
      <c r="DK196" s="65"/>
      <c r="DL196" s="65"/>
      <c r="DM196" s="65"/>
      <c r="DN196" s="65"/>
      <c r="DO196" s="65"/>
      <c r="DP196" s="65"/>
      <c r="DQ196" s="65"/>
      <c r="DR196" s="65"/>
      <c r="DS196" s="65"/>
      <c r="DT196" s="65"/>
      <c r="DU196" s="65"/>
      <c r="DV196" s="65"/>
      <c r="DW196" s="65"/>
      <c r="DX196" s="65"/>
      <c r="DY196" s="65"/>
      <c r="DZ196" s="65"/>
      <c r="EA196" s="65"/>
      <c r="EB196" s="65"/>
      <c r="EC196" s="65"/>
      <c r="ED196" s="65"/>
      <c r="EE196" s="65"/>
      <c r="EF196" s="65"/>
      <c r="EG196" s="65"/>
      <c r="EH196" s="65"/>
      <c r="EI196" s="65"/>
      <c r="EJ196" s="65"/>
      <c r="EK196" s="65"/>
      <c r="EL196" s="65"/>
      <c r="EM196" s="65"/>
      <c r="EN196" s="65"/>
      <c r="EO196" s="65"/>
      <c r="EP196" s="65"/>
      <c r="EQ196" s="65"/>
      <c r="ER196" s="65"/>
      <c r="ES196" s="65"/>
      <c r="ET196" s="65"/>
      <c r="EU196" s="65"/>
      <c r="EV196" s="65"/>
      <c r="EW196" s="65"/>
      <c r="EX196" s="65"/>
      <c r="EY196" s="65"/>
      <c r="EZ196" s="65"/>
      <c r="FA196" s="65"/>
      <c r="FB196" s="65"/>
      <c r="FC196" s="65"/>
      <c r="FD196" s="65"/>
      <c r="FE196" s="65"/>
      <c r="FF196" s="65"/>
      <c r="FG196" s="65"/>
      <c r="FH196" s="65"/>
      <c r="FI196" s="65"/>
      <c r="FJ196" s="65"/>
      <c r="FK196" s="65"/>
      <c r="FL196" s="65"/>
      <c r="FM196" s="65"/>
      <c r="FN196" s="65"/>
      <c r="FO196" s="65"/>
      <c r="FP196" s="65"/>
      <c r="FQ196" s="65"/>
      <c r="FR196" s="65"/>
      <c r="FS196" s="65"/>
      <c r="FT196" s="65"/>
      <c r="FU196" s="65"/>
    </row>
    <row r="197" spans="2:177" s="1" customFormat="1"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65"/>
      <c r="AA197" s="65"/>
      <c r="AB197" s="65"/>
      <c r="AC197" s="65"/>
      <c r="AD197" s="65"/>
      <c r="AE197" s="65"/>
      <c r="AF197" s="65"/>
      <c r="AG197" s="65"/>
      <c r="AH197" s="65"/>
      <c r="AI197" s="65"/>
      <c r="AJ197" s="65"/>
      <c r="AK197" s="65"/>
      <c r="AL197" s="65"/>
      <c r="AM197" s="65"/>
      <c r="AN197" s="65"/>
      <c r="AO197" s="65"/>
      <c r="AP197" s="65"/>
      <c r="AQ197" s="65"/>
      <c r="AR197" s="65"/>
      <c r="AS197" s="65"/>
      <c r="AT197" s="65"/>
      <c r="AU197" s="65"/>
      <c r="AV197" s="65"/>
      <c r="AW197" s="65"/>
      <c r="AX197" s="65"/>
      <c r="AY197" s="65"/>
      <c r="AZ197" s="65"/>
      <c r="BA197" s="65"/>
      <c r="BB197" s="65"/>
      <c r="BC197" s="65"/>
      <c r="BD197" s="65"/>
      <c r="BE197" s="65"/>
      <c r="BF197" s="65"/>
      <c r="BG197" s="65"/>
      <c r="BH197" s="65"/>
      <c r="BI197" s="65"/>
      <c r="BJ197" s="65"/>
      <c r="BK197" s="65"/>
      <c r="BL197" s="65"/>
      <c r="BM197" s="65"/>
      <c r="BN197" s="65"/>
      <c r="BO197" s="65"/>
      <c r="BP197" s="65"/>
      <c r="BQ197" s="65"/>
      <c r="BR197" s="65"/>
      <c r="BS197" s="65"/>
      <c r="BT197" s="65"/>
      <c r="BU197" s="65"/>
      <c r="BV197" s="65"/>
      <c r="BW197" s="65"/>
      <c r="BX197" s="65"/>
      <c r="BY197" s="65"/>
      <c r="BZ197" s="65"/>
      <c r="CA197" s="65"/>
      <c r="CB197" s="65"/>
      <c r="CC197" s="65"/>
      <c r="CD197" s="65"/>
      <c r="CE197" s="65"/>
      <c r="CF197" s="65"/>
      <c r="CG197" s="65"/>
      <c r="CH197" s="65"/>
      <c r="CI197" s="65"/>
      <c r="CJ197" s="65"/>
      <c r="CK197" s="65"/>
      <c r="CL197" s="65"/>
      <c r="CM197" s="65"/>
      <c r="CN197" s="65"/>
      <c r="CO197" s="65"/>
      <c r="CP197" s="65"/>
      <c r="CQ197" s="65"/>
      <c r="CR197" s="65"/>
      <c r="CS197" s="65"/>
      <c r="CT197" s="65"/>
      <c r="CU197" s="65"/>
      <c r="CV197" s="65"/>
      <c r="CW197" s="65"/>
      <c r="CX197" s="65"/>
      <c r="CY197" s="65"/>
      <c r="CZ197" s="65"/>
      <c r="DA197" s="65"/>
      <c r="DB197" s="65"/>
      <c r="DC197" s="65"/>
      <c r="DD197" s="65"/>
      <c r="DE197" s="65"/>
      <c r="DF197" s="65"/>
      <c r="DG197" s="65"/>
      <c r="DH197" s="65"/>
      <c r="DI197" s="65"/>
      <c r="DJ197" s="65"/>
      <c r="DK197" s="65"/>
      <c r="DL197" s="65"/>
      <c r="DM197" s="65"/>
      <c r="DN197" s="65"/>
      <c r="DO197" s="65"/>
      <c r="DP197" s="65"/>
      <c r="DQ197" s="65"/>
      <c r="DR197" s="65"/>
      <c r="DS197" s="65"/>
      <c r="DT197" s="65"/>
      <c r="DU197" s="65"/>
      <c r="DV197" s="65"/>
      <c r="DW197" s="65"/>
      <c r="DX197" s="65"/>
      <c r="DY197" s="65"/>
      <c r="DZ197" s="65"/>
      <c r="EA197" s="65"/>
      <c r="EB197" s="65"/>
      <c r="EC197" s="65"/>
      <c r="ED197" s="65"/>
      <c r="EE197" s="65"/>
      <c r="EF197" s="65"/>
      <c r="EG197" s="65"/>
      <c r="EH197" s="65"/>
      <c r="EI197" s="65"/>
      <c r="EJ197" s="65"/>
      <c r="EK197" s="65"/>
      <c r="EL197" s="65"/>
      <c r="EM197" s="65"/>
      <c r="EN197" s="65"/>
      <c r="EO197" s="65"/>
      <c r="EP197" s="65"/>
      <c r="EQ197" s="65"/>
      <c r="ER197" s="65"/>
      <c r="ES197" s="65"/>
      <c r="ET197" s="65"/>
      <c r="EU197" s="65"/>
      <c r="EV197" s="65"/>
      <c r="EW197" s="65"/>
      <c r="EX197" s="65"/>
      <c r="EY197" s="65"/>
      <c r="EZ197" s="65"/>
      <c r="FA197" s="65"/>
      <c r="FB197" s="65"/>
      <c r="FC197" s="65"/>
      <c r="FD197" s="65"/>
      <c r="FE197" s="65"/>
      <c r="FF197" s="65"/>
      <c r="FG197" s="65"/>
      <c r="FH197" s="65"/>
      <c r="FI197" s="65"/>
      <c r="FJ197" s="65"/>
      <c r="FK197" s="65"/>
      <c r="FL197" s="65"/>
      <c r="FM197" s="65"/>
      <c r="FN197" s="65"/>
      <c r="FO197" s="65"/>
      <c r="FP197" s="65"/>
      <c r="FQ197" s="65"/>
      <c r="FR197" s="65"/>
      <c r="FS197" s="65"/>
      <c r="FT197" s="65"/>
      <c r="FU197" s="65"/>
    </row>
    <row r="198" spans="2:177" s="1" customFormat="1"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  <c r="Z198" s="65"/>
      <c r="AA198" s="65"/>
      <c r="AB198" s="65"/>
      <c r="AC198" s="65"/>
      <c r="AD198" s="65"/>
      <c r="AE198" s="65"/>
      <c r="AF198" s="65"/>
      <c r="AG198" s="65"/>
      <c r="AH198" s="65"/>
      <c r="AI198" s="65"/>
      <c r="AJ198" s="65"/>
      <c r="AK198" s="65"/>
      <c r="AL198" s="65"/>
      <c r="AM198" s="65"/>
      <c r="AN198" s="65"/>
      <c r="AO198" s="65"/>
      <c r="AP198" s="65"/>
      <c r="AQ198" s="65"/>
      <c r="AR198" s="65"/>
      <c r="AS198" s="65"/>
      <c r="AT198" s="65"/>
      <c r="AU198" s="65"/>
      <c r="AV198" s="65"/>
      <c r="AW198" s="65"/>
      <c r="AX198" s="65"/>
      <c r="AY198" s="65"/>
      <c r="AZ198" s="65"/>
      <c r="BA198" s="65"/>
      <c r="BB198" s="65"/>
      <c r="BC198" s="65"/>
      <c r="BD198" s="65"/>
      <c r="BE198" s="65"/>
      <c r="BF198" s="65"/>
      <c r="BG198" s="65"/>
      <c r="BH198" s="65"/>
      <c r="BI198" s="65"/>
      <c r="BJ198" s="65"/>
      <c r="BK198" s="65"/>
      <c r="BL198" s="65"/>
      <c r="BM198" s="65"/>
      <c r="BN198" s="65"/>
      <c r="BO198" s="65"/>
      <c r="BP198" s="65"/>
      <c r="BQ198" s="65"/>
      <c r="BR198" s="65"/>
      <c r="BS198" s="65"/>
      <c r="BT198" s="65"/>
      <c r="BU198" s="65"/>
      <c r="BV198" s="65"/>
      <c r="BW198" s="65"/>
      <c r="BX198" s="65"/>
      <c r="BY198" s="65"/>
      <c r="BZ198" s="65"/>
      <c r="CA198" s="65"/>
      <c r="CB198" s="65"/>
      <c r="CC198" s="65"/>
      <c r="CD198" s="65"/>
      <c r="CE198" s="65"/>
      <c r="CF198" s="65"/>
      <c r="CG198" s="65"/>
      <c r="CH198" s="65"/>
      <c r="CI198" s="65"/>
      <c r="CJ198" s="65"/>
      <c r="CK198" s="65"/>
      <c r="CL198" s="65"/>
      <c r="CM198" s="65"/>
      <c r="CN198" s="65"/>
      <c r="CO198" s="65"/>
      <c r="CP198" s="65"/>
      <c r="CQ198" s="65"/>
      <c r="CR198" s="65"/>
      <c r="CS198" s="65"/>
      <c r="CT198" s="65"/>
      <c r="CU198" s="65"/>
      <c r="CV198" s="65"/>
      <c r="CW198" s="65"/>
      <c r="CX198" s="65"/>
      <c r="CY198" s="65"/>
      <c r="CZ198" s="65"/>
      <c r="DA198" s="65"/>
      <c r="DB198" s="65"/>
      <c r="DC198" s="65"/>
      <c r="DD198" s="65"/>
      <c r="DE198" s="65"/>
      <c r="DF198" s="65"/>
      <c r="DG198" s="65"/>
      <c r="DH198" s="65"/>
      <c r="DI198" s="65"/>
      <c r="DJ198" s="65"/>
      <c r="DK198" s="65"/>
      <c r="DL198" s="65"/>
      <c r="DM198" s="65"/>
      <c r="DN198" s="65"/>
      <c r="DO198" s="65"/>
      <c r="DP198" s="65"/>
      <c r="DQ198" s="65"/>
      <c r="DR198" s="65"/>
      <c r="DS198" s="65"/>
      <c r="DT198" s="65"/>
      <c r="DU198" s="65"/>
      <c r="DV198" s="65"/>
      <c r="DW198" s="65"/>
      <c r="DX198" s="65"/>
      <c r="DY198" s="65"/>
      <c r="DZ198" s="65"/>
      <c r="EA198" s="65"/>
      <c r="EB198" s="65"/>
      <c r="EC198" s="65"/>
      <c r="ED198" s="65"/>
      <c r="EE198" s="65"/>
      <c r="EF198" s="65"/>
      <c r="EG198" s="65"/>
      <c r="EH198" s="65"/>
      <c r="EI198" s="65"/>
      <c r="EJ198" s="65"/>
      <c r="EK198" s="65"/>
      <c r="EL198" s="65"/>
      <c r="EM198" s="65"/>
      <c r="EN198" s="65"/>
      <c r="EO198" s="65"/>
      <c r="EP198" s="65"/>
      <c r="EQ198" s="65"/>
      <c r="ER198" s="65"/>
      <c r="ES198" s="65"/>
      <c r="ET198" s="65"/>
      <c r="EU198" s="65"/>
      <c r="EV198" s="65"/>
      <c r="EW198" s="65"/>
      <c r="EX198" s="65"/>
      <c r="EY198" s="65"/>
      <c r="EZ198" s="65"/>
      <c r="FA198" s="65"/>
      <c r="FB198" s="65"/>
      <c r="FC198" s="65"/>
      <c r="FD198" s="65"/>
      <c r="FE198" s="65"/>
      <c r="FF198" s="65"/>
      <c r="FG198" s="65"/>
      <c r="FH198" s="65"/>
      <c r="FI198" s="65"/>
      <c r="FJ198" s="65"/>
      <c r="FK198" s="65"/>
      <c r="FL198" s="65"/>
      <c r="FM198" s="65"/>
      <c r="FN198" s="65"/>
      <c r="FO198" s="65"/>
      <c r="FP198" s="65"/>
      <c r="FQ198" s="65"/>
      <c r="FR198" s="65"/>
      <c r="FS198" s="65"/>
      <c r="FT198" s="65"/>
      <c r="FU198" s="65"/>
    </row>
    <row r="199" spans="2:177" s="1" customFormat="1"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65"/>
      <c r="AA199" s="65"/>
      <c r="AB199" s="65"/>
      <c r="AC199" s="65"/>
      <c r="AD199" s="65"/>
      <c r="AE199" s="65"/>
      <c r="AF199" s="65"/>
      <c r="AG199" s="65"/>
      <c r="AH199" s="65"/>
      <c r="AI199" s="65"/>
      <c r="AJ199" s="65"/>
      <c r="AK199" s="65"/>
      <c r="AL199" s="65"/>
      <c r="AM199" s="65"/>
      <c r="AN199" s="65"/>
      <c r="AO199" s="65"/>
      <c r="AP199" s="65"/>
      <c r="AQ199" s="65"/>
      <c r="AR199" s="65"/>
      <c r="AS199" s="65"/>
      <c r="AT199" s="65"/>
      <c r="AU199" s="65"/>
      <c r="AV199" s="65"/>
      <c r="AW199" s="65"/>
      <c r="AX199" s="65"/>
      <c r="AY199" s="65"/>
      <c r="AZ199" s="65"/>
      <c r="BA199" s="65"/>
      <c r="BB199" s="65"/>
      <c r="BC199" s="65"/>
      <c r="BD199" s="65"/>
      <c r="BE199" s="65"/>
      <c r="BF199" s="65"/>
      <c r="BG199" s="65"/>
      <c r="BH199" s="65"/>
      <c r="BI199" s="65"/>
      <c r="BJ199" s="65"/>
      <c r="BK199" s="65"/>
      <c r="BL199" s="65"/>
      <c r="BM199" s="65"/>
      <c r="BN199" s="65"/>
      <c r="BO199" s="65"/>
      <c r="BP199" s="65"/>
      <c r="BQ199" s="65"/>
      <c r="BR199" s="65"/>
      <c r="BS199" s="65"/>
      <c r="BT199" s="65"/>
      <c r="BU199" s="65"/>
      <c r="BV199" s="65"/>
      <c r="BW199" s="65"/>
      <c r="BX199" s="65"/>
      <c r="BY199" s="65"/>
      <c r="BZ199" s="65"/>
      <c r="CA199" s="65"/>
      <c r="CB199" s="65"/>
      <c r="CC199" s="65"/>
      <c r="CD199" s="65"/>
      <c r="CE199" s="65"/>
      <c r="CF199" s="65"/>
      <c r="CG199" s="65"/>
      <c r="CH199" s="65"/>
      <c r="CI199" s="65"/>
      <c r="CJ199" s="65"/>
      <c r="CK199" s="65"/>
      <c r="CL199" s="65"/>
      <c r="CM199" s="65"/>
      <c r="CN199" s="65"/>
      <c r="CO199" s="65"/>
      <c r="CP199" s="65"/>
      <c r="CQ199" s="65"/>
      <c r="CR199" s="65"/>
      <c r="CS199" s="65"/>
      <c r="CT199" s="65"/>
      <c r="CU199" s="65"/>
      <c r="CV199" s="65"/>
      <c r="CW199" s="65"/>
      <c r="CX199" s="65"/>
      <c r="CY199" s="65"/>
      <c r="CZ199" s="65"/>
      <c r="DA199" s="65"/>
      <c r="DB199" s="65"/>
      <c r="DC199" s="65"/>
      <c r="DD199" s="65"/>
      <c r="DE199" s="65"/>
      <c r="DF199" s="65"/>
      <c r="DG199" s="65"/>
      <c r="DH199" s="65"/>
      <c r="DI199" s="65"/>
      <c r="DJ199" s="65"/>
      <c r="DK199" s="65"/>
      <c r="DL199" s="65"/>
      <c r="DM199" s="65"/>
      <c r="DN199" s="65"/>
      <c r="DO199" s="65"/>
      <c r="DP199" s="65"/>
      <c r="DQ199" s="65"/>
      <c r="DR199" s="65"/>
      <c r="DS199" s="65"/>
      <c r="DT199" s="65"/>
      <c r="DU199" s="65"/>
      <c r="DV199" s="65"/>
      <c r="DW199" s="65"/>
      <c r="DX199" s="65"/>
      <c r="DY199" s="65"/>
      <c r="DZ199" s="65"/>
      <c r="EA199" s="65"/>
      <c r="EB199" s="65"/>
      <c r="EC199" s="65"/>
      <c r="ED199" s="65"/>
      <c r="EE199" s="65"/>
      <c r="EF199" s="65"/>
      <c r="EG199" s="65"/>
      <c r="EH199" s="65"/>
      <c r="EI199" s="65"/>
      <c r="EJ199" s="65"/>
      <c r="EK199" s="65"/>
      <c r="EL199" s="65"/>
      <c r="EM199" s="65"/>
      <c r="EN199" s="65"/>
      <c r="EO199" s="65"/>
      <c r="EP199" s="65"/>
      <c r="EQ199" s="65"/>
      <c r="ER199" s="65"/>
      <c r="ES199" s="65"/>
      <c r="ET199" s="65"/>
      <c r="EU199" s="65"/>
      <c r="EV199" s="65"/>
      <c r="EW199" s="65"/>
      <c r="EX199" s="65"/>
      <c r="EY199" s="65"/>
      <c r="EZ199" s="65"/>
      <c r="FA199" s="65"/>
      <c r="FB199" s="65"/>
      <c r="FC199" s="65"/>
      <c r="FD199" s="65"/>
      <c r="FE199" s="65"/>
      <c r="FF199" s="65"/>
      <c r="FG199" s="65"/>
      <c r="FH199" s="65"/>
      <c r="FI199" s="65"/>
      <c r="FJ199" s="65"/>
      <c r="FK199" s="65"/>
      <c r="FL199" s="65"/>
      <c r="FM199" s="65"/>
      <c r="FN199" s="65"/>
      <c r="FO199" s="65"/>
      <c r="FP199" s="65"/>
      <c r="FQ199" s="65"/>
      <c r="FR199" s="65"/>
      <c r="FS199" s="65"/>
      <c r="FT199" s="65"/>
      <c r="FU199" s="65"/>
    </row>
    <row r="200" spans="2:177" s="1" customFormat="1"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5"/>
      <c r="Z200" s="65"/>
      <c r="AA200" s="65"/>
      <c r="AB200" s="65"/>
      <c r="AC200" s="65"/>
      <c r="AD200" s="65"/>
      <c r="AE200" s="65"/>
      <c r="AF200" s="65"/>
      <c r="AG200" s="65"/>
      <c r="AH200" s="65"/>
      <c r="AI200" s="65"/>
      <c r="AJ200" s="65"/>
      <c r="AK200" s="65"/>
      <c r="AL200" s="65"/>
      <c r="AM200" s="65"/>
      <c r="AN200" s="65"/>
      <c r="AO200" s="65"/>
      <c r="AP200" s="65"/>
      <c r="AQ200" s="65"/>
      <c r="AR200" s="65"/>
      <c r="AS200" s="65"/>
      <c r="AT200" s="65"/>
      <c r="AU200" s="65"/>
      <c r="AV200" s="65"/>
      <c r="AW200" s="65"/>
      <c r="AX200" s="65"/>
      <c r="AY200" s="65"/>
      <c r="AZ200" s="65"/>
      <c r="BA200" s="65"/>
      <c r="BB200" s="65"/>
      <c r="BC200" s="65"/>
      <c r="BD200" s="65"/>
      <c r="BE200" s="65"/>
      <c r="BF200" s="65"/>
      <c r="BG200" s="65"/>
      <c r="BH200" s="65"/>
      <c r="BI200" s="65"/>
      <c r="BJ200" s="65"/>
      <c r="BK200" s="65"/>
      <c r="BL200" s="65"/>
      <c r="BM200" s="65"/>
      <c r="BN200" s="65"/>
      <c r="BO200" s="65"/>
      <c r="BP200" s="65"/>
      <c r="BQ200" s="65"/>
      <c r="BR200" s="65"/>
      <c r="BS200" s="65"/>
      <c r="BT200" s="65"/>
      <c r="BU200" s="65"/>
      <c r="BV200" s="65"/>
      <c r="BW200" s="65"/>
      <c r="BX200" s="65"/>
      <c r="BY200" s="65"/>
      <c r="BZ200" s="65"/>
      <c r="CA200" s="65"/>
      <c r="CB200" s="65"/>
      <c r="CC200" s="65"/>
      <c r="CD200" s="65"/>
      <c r="CE200" s="65"/>
      <c r="CF200" s="65"/>
      <c r="CG200" s="65"/>
      <c r="CH200" s="65"/>
      <c r="CI200" s="65"/>
      <c r="CJ200" s="65"/>
      <c r="CK200" s="65"/>
      <c r="CL200" s="65"/>
      <c r="CM200" s="65"/>
      <c r="CN200" s="65"/>
      <c r="CO200" s="65"/>
      <c r="CP200" s="65"/>
      <c r="CQ200" s="65"/>
      <c r="CR200" s="65"/>
      <c r="CS200" s="65"/>
      <c r="CT200" s="65"/>
      <c r="CU200" s="65"/>
      <c r="CV200" s="65"/>
      <c r="CW200" s="65"/>
      <c r="CX200" s="65"/>
      <c r="CY200" s="65"/>
      <c r="CZ200" s="65"/>
      <c r="DA200" s="65"/>
      <c r="DB200" s="65"/>
      <c r="DC200" s="65"/>
      <c r="DD200" s="65"/>
      <c r="DE200" s="65"/>
      <c r="DF200" s="65"/>
      <c r="DG200" s="65"/>
      <c r="DH200" s="65"/>
      <c r="DI200" s="65"/>
      <c r="DJ200" s="65"/>
      <c r="DK200" s="65"/>
      <c r="DL200" s="65"/>
      <c r="DM200" s="65"/>
      <c r="DN200" s="65"/>
      <c r="DO200" s="65"/>
      <c r="DP200" s="65"/>
      <c r="DQ200" s="65"/>
      <c r="DR200" s="65"/>
      <c r="DS200" s="65"/>
      <c r="DT200" s="65"/>
      <c r="DU200" s="65"/>
      <c r="DV200" s="65"/>
      <c r="DW200" s="65"/>
      <c r="DX200" s="65"/>
      <c r="DY200" s="65"/>
      <c r="DZ200" s="65"/>
      <c r="EA200" s="65"/>
      <c r="EB200" s="65"/>
      <c r="EC200" s="65"/>
      <c r="ED200" s="65"/>
      <c r="EE200" s="65"/>
      <c r="EF200" s="65"/>
      <c r="EG200" s="65"/>
      <c r="EH200" s="65"/>
      <c r="EI200" s="65"/>
      <c r="EJ200" s="65"/>
      <c r="EK200" s="65"/>
      <c r="EL200" s="65"/>
      <c r="EM200" s="65"/>
      <c r="EN200" s="65"/>
      <c r="EO200" s="65"/>
      <c r="EP200" s="65"/>
      <c r="EQ200" s="65"/>
      <c r="ER200" s="65"/>
      <c r="ES200" s="65"/>
      <c r="ET200" s="65"/>
      <c r="EU200" s="65"/>
      <c r="EV200" s="65"/>
      <c r="EW200" s="65"/>
      <c r="EX200" s="65"/>
      <c r="EY200" s="65"/>
      <c r="EZ200" s="65"/>
      <c r="FA200" s="65"/>
      <c r="FB200" s="65"/>
      <c r="FC200" s="65"/>
      <c r="FD200" s="65"/>
      <c r="FE200" s="65"/>
      <c r="FF200" s="65"/>
      <c r="FG200" s="65"/>
      <c r="FH200" s="65"/>
      <c r="FI200" s="65"/>
      <c r="FJ200" s="65"/>
      <c r="FK200" s="65"/>
      <c r="FL200" s="65"/>
      <c r="FM200" s="65"/>
      <c r="FN200" s="65"/>
      <c r="FO200" s="65"/>
      <c r="FP200" s="65"/>
      <c r="FQ200" s="65"/>
      <c r="FR200" s="65"/>
      <c r="FS200" s="65"/>
      <c r="FT200" s="65"/>
      <c r="FU200" s="65"/>
    </row>
    <row r="201" spans="2:177" s="1" customFormat="1"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/>
      <c r="Z201" s="65"/>
      <c r="AA201" s="65"/>
      <c r="AB201" s="65"/>
      <c r="AC201" s="65"/>
      <c r="AD201" s="65"/>
      <c r="AE201" s="65"/>
      <c r="AF201" s="65"/>
      <c r="AG201" s="65"/>
      <c r="AH201" s="65"/>
      <c r="AI201" s="65"/>
      <c r="AJ201" s="65"/>
      <c r="AK201" s="65"/>
      <c r="AL201" s="65"/>
      <c r="AM201" s="65"/>
      <c r="AN201" s="65"/>
      <c r="AO201" s="65"/>
      <c r="AP201" s="65"/>
      <c r="AQ201" s="65"/>
      <c r="AR201" s="65"/>
      <c r="AS201" s="65"/>
      <c r="AT201" s="65"/>
      <c r="AU201" s="65"/>
      <c r="AV201" s="65"/>
      <c r="AW201" s="65"/>
      <c r="AX201" s="65"/>
      <c r="AY201" s="65"/>
      <c r="AZ201" s="65"/>
      <c r="BA201" s="65"/>
      <c r="BB201" s="65"/>
      <c r="BC201" s="65"/>
      <c r="BD201" s="65"/>
      <c r="BE201" s="65"/>
      <c r="BF201" s="65"/>
      <c r="BG201" s="65"/>
      <c r="BH201" s="65"/>
      <c r="BI201" s="65"/>
      <c r="BJ201" s="65"/>
      <c r="BK201" s="65"/>
      <c r="BL201" s="65"/>
      <c r="BM201" s="65"/>
      <c r="BN201" s="65"/>
      <c r="BO201" s="65"/>
      <c r="BP201" s="65"/>
      <c r="BQ201" s="65"/>
      <c r="BR201" s="65"/>
      <c r="BS201" s="65"/>
      <c r="BT201" s="65"/>
      <c r="BU201" s="65"/>
      <c r="BV201" s="65"/>
      <c r="BW201" s="65"/>
      <c r="BX201" s="65"/>
      <c r="BY201" s="65"/>
      <c r="BZ201" s="65"/>
      <c r="CA201" s="65"/>
      <c r="CB201" s="65"/>
      <c r="CC201" s="65"/>
      <c r="CD201" s="65"/>
      <c r="CE201" s="65"/>
      <c r="CF201" s="65"/>
      <c r="CG201" s="65"/>
      <c r="CH201" s="65"/>
      <c r="CI201" s="65"/>
      <c r="CJ201" s="65"/>
      <c r="CK201" s="65"/>
      <c r="CL201" s="65"/>
      <c r="CM201" s="65"/>
      <c r="CN201" s="65"/>
      <c r="CO201" s="65"/>
      <c r="CP201" s="65"/>
      <c r="CQ201" s="65"/>
      <c r="CR201" s="65"/>
      <c r="CS201" s="65"/>
      <c r="CT201" s="65"/>
      <c r="CU201" s="65"/>
      <c r="CV201" s="65"/>
      <c r="CW201" s="65"/>
      <c r="CX201" s="65"/>
      <c r="CY201" s="65"/>
      <c r="CZ201" s="65"/>
      <c r="DA201" s="65"/>
      <c r="DB201" s="65"/>
      <c r="DC201" s="65"/>
      <c r="DD201" s="65"/>
      <c r="DE201" s="65"/>
      <c r="DF201" s="65"/>
      <c r="DG201" s="65"/>
      <c r="DH201" s="65"/>
      <c r="DI201" s="65"/>
      <c r="DJ201" s="65"/>
      <c r="DK201" s="65"/>
      <c r="DL201" s="65"/>
      <c r="DM201" s="65"/>
      <c r="DN201" s="65"/>
      <c r="DO201" s="65"/>
      <c r="DP201" s="65"/>
      <c r="DQ201" s="65"/>
      <c r="DR201" s="65"/>
      <c r="DS201" s="65"/>
      <c r="DT201" s="65"/>
      <c r="DU201" s="65"/>
      <c r="DV201" s="65"/>
      <c r="DW201" s="65"/>
      <c r="DX201" s="65"/>
      <c r="DY201" s="65"/>
      <c r="DZ201" s="65"/>
      <c r="EA201" s="65"/>
      <c r="EB201" s="65"/>
      <c r="EC201" s="65"/>
      <c r="ED201" s="65"/>
      <c r="EE201" s="65"/>
      <c r="EF201" s="65"/>
      <c r="EG201" s="65"/>
      <c r="EH201" s="65"/>
      <c r="EI201" s="65"/>
      <c r="EJ201" s="65"/>
      <c r="EK201" s="65"/>
      <c r="EL201" s="65"/>
      <c r="EM201" s="65"/>
      <c r="EN201" s="65"/>
      <c r="EO201" s="65"/>
      <c r="EP201" s="65"/>
      <c r="EQ201" s="65"/>
      <c r="ER201" s="65"/>
      <c r="ES201" s="65"/>
      <c r="ET201" s="65"/>
      <c r="EU201" s="65"/>
      <c r="EV201" s="65"/>
      <c r="EW201" s="65"/>
      <c r="EX201" s="65"/>
      <c r="EY201" s="65"/>
      <c r="EZ201" s="65"/>
      <c r="FA201" s="65"/>
      <c r="FB201" s="65"/>
      <c r="FC201" s="65"/>
      <c r="FD201" s="65"/>
      <c r="FE201" s="65"/>
      <c r="FF201" s="65"/>
      <c r="FG201" s="65"/>
      <c r="FH201" s="65"/>
      <c r="FI201" s="65"/>
      <c r="FJ201" s="65"/>
      <c r="FK201" s="65"/>
      <c r="FL201" s="65"/>
      <c r="FM201" s="65"/>
      <c r="FN201" s="65"/>
      <c r="FO201" s="65"/>
      <c r="FP201" s="65"/>
      <c r="FQ201" s="65"/>
      <c r="FR201" s="65"/>
      <c r="FS201" s="65"/>
      <c r="FT201" s="65"/>
      <c r="FU201" s="65"/>
    </row>
    <row r="202" spans="2:177" s="1" customFormat="1"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65"/>
      <c r="AA202" s="65"/>
      <c r="AB202" s="65"/>
      <c r="AC202" s="65"/>
      <c r="AD202" s="65"/>
      <c r="AE202" s="65"/>
      <c r="AF202" s="65"/>
      <c r="AG202" s="65"/>
      <c r="AH202" s="65"/>
      <c r="AI202" s="65"/>
      <c r="AJ202" s="65"/>
      <c r="AK202" s="65"/>
      <c r="AL202" s="65"/>
      <c r="AM202" s="65"/>
      <c r="AN202" s="65"/>
      <c r="AO202" s="65"/>
      <c r="AP202" s="65"/>
      <c r="AQ202" s="65"/>
      <c r="AR202" s="65"/>
      <c r="AS202" s="65"/>
      <c r="AT202" s="65"/>
      <c r="AU202" s="65"/>
      <c r="AV202" s="65"/>
      <c r="AW202" s="65"/>
      <c r="AX202" s="65"/>
      <c r="AY202" s="65"/>
      <c r="AZ202" s="65"/>
      <c r="BA202" s="65"/>
      <c r="BB202" s="65"/>
      <c r="BC202" s="65"/>
      <c r="BD202" s="65"/>
      <c r="BE202" s="65"/>
      <c r="BF202" s="65"/>
      <c r="BG202" s="65"/>
      <c r="BH202" s="65"/>
      <c r="BI202" s="65"/>
      <c r="BJ202" s="65"/>
      <c r="BK202" s="65"/>
      <c r="BL202" s="65"/>
      <c r="BM202" s="65"/>
      <c r="BN202" s="65"/>
      <c r="BO202" s="65"/>
      <c r="BP202" s="65"/>
      <c r="BQ202" s="65"/>
      <c r="BR202" s="65"/>
      <c r="BS202" s="65"/>
      <c r="BT202" s="65"/>
      <c r="BU202" s="65"/>
      <c r="BV202" s="65"/>
      <c r="BW202" s="65"/>
      <c r="BX202" s="65"/>
      <c r="BY202" s="65"/>
      <c r="BZ202" s="65"/>
      <c r="CA202" s="65"/>
      <c r="CB202" s="65"/>
      <c r="CC202" s="65"/>
      <c r="CD202" s="65"/>
      <c r="CE202" s="65"/>
      <c r="CF202" s="65"/>
      <c r="CG202" s="65"/>
      <c r="CH202" s="65"/>
      <c r="CI202" s="65"/>
      <c r="CJ202" s="65"/>
      <c r="CK202" s="65"/>
      <c r="CL202" s="65"/>
      <c r="CM202" s="65"/>
      <c r="CN202" s="65"/>
      <c r="CO202" s="65"/>
      <c r="CP202" s="65"/>
      <c r="CQ202" s="65"/>
      <c r="CR202" s="65"/>
      <c r="CS202" s="65"/>
      <c r="CT202" s="65"/>
      <c r="CU202" s="65"/>
      <c r="CV202" s="65"/>
      <c r="CW202" s="65"/>
      <c r="CX202" s="65"/>
      <c r="CY202" s="65"/>
      <c r="CZ202" s="65"/>
      <c r="DA202" s="65"/>
      <c r="DB202" s="65"/>
      <c r="DC202" s="65"/>
      <c r="DD202" s="65"/>
      <c r="DE202" s="65"/>
      <c r="DF202" s="65"/>
      <c r="DG202" s="65"/>
      <c r="DH202" s="65"/>
      <c r="DI202" s="65"/>
      <c r="DJ202" s="65"/>
      <c r="DK202" s="65"/>
      <c r="DL202" s="65"/>
      <c r="DM202" s="65"/>
      <c r="DN202" s="65"/>
      <c r="DO202" s="65"/>
      <c r="DP202" s="65"/>
      <c r="DQ202" s="65"/>
      <c r="DR202" s="65"/>
      <c r="DS202" s="65"/>
      <c r="DT202" s="65"/>
      <c r="DU202" s="65"/>
      <c r="DV202" s="65"/>
      <c r="DW202" s="65"/>
      <c r="DX202" s="65"/>
      <c r="DY202" s="65"/>
      <c r="DZ202" s="65"/>
      <c r="EA202" s="65"/>
      <c r="EB202" s="65"/>
      <c r="EC202" s="65"/>
      <c r="ED202" s="65"/>
      <c r="EE202" s="65"/>
      <c r="EF202" s="65"/>
      <c r="EG202" s="65"/>
      <c r="EH202" s="65"/>
      <c r="EI202" s="65"/>
      <c r="EJ202" s="65"/>
      <c r="EK202" s="65"/>
      <c r="EL202" s="65"/>
      <c r="EM202" s="65"/>
      <c r="EN202" s="65"/>
      <c r="EO202" s="65"/>
      <c r="EP202" s="65"/>
      <c r="EQ202" s="65"/>
      <c r="ER202" s="65"/>
      <c r="ES202" s="65"/>
      <c r="ET202" s="65"/>
      <c r="EU202" s="65"/>
      <c r="EV202" s="65"/>
      <c r="EW202" s="65"/>
      <c r="EX202" s="65"/>
      <c r="EY202" s="65"/>
      <c r="EZ202" s="65"/>
      <c r="FA202" s="65"/>
      <c r="FB202" s="65"/>
      <c r="FC202" s="65"/>
      <c r="FD202" s="65"/>
      <c r="FE202" s="65"/>
      <c r="FF202" s="65"/>
      <c r="FG202" s="65"/>
      <c r="FH202" s="65"/>
      <c r="FI202" s="65"/>
      <c r="FJ202" s="65"/>
      <c r="FK202" s="65"/>
      <c r="FL202" s="65"/>
      <c r="FM202" s="65"/>
      <c r="FN202" s="65"/>
      <c r="FO202" s="65"/>
      <c r="FP202" s="65"/>
      <c r="FQ202" s="65"/>
      <c r="FR202" s="65"/>
      <c r="FS202" s="65"/>
      <c r="FT202" s="65"/>
      <c r="FU202" s="65"/>
    </row>
    <row r="203" spans="2:177" s="1" customFormat="1"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65"/>
      <c r="AA203" s="65"/>
      <c r="AB203" s="65"/>
      <c r="AC203" s="65"/>
      <c r="AD203" s="65"/>
      <c r="AE203" s="65"/>
      <c r="AF203" s="65"/>
      <c r="AG203" s="65"/>
      <c r="AH203" s="65"/>
      <c r="AI203" s="65"/>
      <c r="AJ203" s="65"/>
      <c r="AK203" s="65"/>
      <c r="AL203" s="65"/>
      <c r="AM203" s="65"/>
      <c r="AN203" s="65"/>
      <c r="AO203" s="65"/>
      <c r="AP203" s="65"/>
      <c r="AQ203" s="65"/>
      <c r="AR203" s="65"/>
      <c r="AS203" s="65"/>
      <c r="AT203" s="65"/>
      <c r="AU203" s="65"/>
      <c r="AV203" s="65"/>
      <c r="AW203" s="65"/>
      <c r="AX203" s="65"/>
      <c r="AY203" s="65"/>
      <c r="AZ203" s="65"/>
      <c r="BA203" s="65"/>
      <c r="BB203" s="65"/>
      <c r="BC203" s="65"/>
      <c r="BD203" s="65"/>
      <c r="BE203" s="65"/>
      <c r="BF203" s="65"/>
      <c r="BG203" s="65"/>
      <c r="BH203" s="65"/>
      <c r="BI203" s="65"/>
      <c r="BJ203" s="65"/>
      <c r="BK203" s="65"/>
      <c r="BL203" s="65"/>
      <c r="BM203" s="65"/>
      <c r="BN203" s="65"/>
      <c r="BO203" s="65"/>
      <c r="BP203" s="65"/>
      <c r="BQ203" s="65"/>
      <c r="BR203" s="65"/>
      <c r="BS203" s="65"/>
      <c r="BT203" s="65"/>
      <c r="BU203" s="65"/>
      <c r="BV203" s="65"/>
      <c r="BW203" s="65"/>
      <c r="BX203" s="65"/>
      <c r="BY203" s="65"/>
      <c r="BZ203" s="65"/>
      <c r="CA203" s="65"/>
      <c r="CB203" s="65"/>
      <c r="CC203" s="65"/>
      <c r="CD203" s="65"/>
      <c r="CE203" s="65"/>
      <c r="CF203" s="65"/>
      <c r="CG203" s="65"/>
      <c r="CH203" s="65"/>
      <c r="CI203" s="65"/>
      <c r="CJ203" s="65"/>
      <c r="CK203" s="65"/>
      <c r="CL203" s="65"/>
      <c r="CM203" s="65"/>
      <c r="CN203" s="65"/>
      <c r="CO203" s="65"/>
      <c r="CP203" s="65"/>
      <c r="CQ203" s="65"/>
      <c r="CR203" s="65"/>
      <c r="CS203" s="65"/>
      <c r="CT203" s="65"/>
      <c r="CU203" s="65"/>
      <c r="CV203" s="65"/>
      <c r="CW203" s="65"/>
      <c r="CX203" s="65"/>
      <c r="CY203" s="65"/>
      <c r="CZ203" s="65"/>
      <c r="DA203" s="65"/>
      <c r="DB203" s="65"/>
      <c r="DC203" s="65"/>
      <c r="DD203" s="65"/>
      <c r="DE203" s="65"/>
      <c r="DF203" s="65"/>
      <c r="DG203" s="65"/>
      <c r="DH203" s="65"/>
      <c r="DI203" s="65"/>
      <c r="DJ203" s="65"/>
      <c r="DK203" s="65"/>
      <c r="DL203" s="65"/>
      <c r="DM203" s="65"/>
      <c r="DN203" s="65"/>
      <c r="DO203" s="65"/>
      <c r="DP203" s="65"/>
      <c r="DQ203" s="65"/>
      <c r="DR203" s="65"/>
      <c r="DS203" s="65"/>
      <c r="DT203" s="65"/>
      <c r="DU203" s="65"/>
      <c r="DV203" s="65"/>
      <c r="DW203" s="65"/>
      <c r="DX203" s="65"/>
      <c r="DY203" s="65"/>
      <c r="DZ203" s="65"/>
      <c r="EA203" s="65"/>
      <c r="EB203" s="65"/>
      <c r="EC203" s="65"/>
      <c r="ED203" s="65"/>
      <c r="EE203" s="65"/>
      <c r="EF203" s="65"/>
      <c r="EG203" s="65"/>
      <c r="EH203" s="65"/>
      <c r="EI203" s="65"/>
      <c r="EJ203" s="65"/>
      <c r="EK203" s="65"/>
      <c r="EL203" s="65"/>
      <c r="EM203" s="65"/>
      <c r="EN203" s="65"/>
      <c r="EO203" s="65"/>
      <c r="EP203" s="65"/>
      <c r="EQ203" s="65"/>
      <c r="ER203" s="65"/>
      <c r="ES203" s="65"/>
      <c r="ET203" s="65"/>
      <c r="EU203" s="65"/>
      <c r="EV203" s="65"/>
      <c r="EW203" s="65"/>
      <c r="EX203" s="65"/>
      <c r="EY203" s="65"/>
      <c r="EZ203" s="65"/>
      <c r="FA203" s="65"/>
      <c r="FB203" s="65"/>
      <c r="FC203" s="65"/>
      <c r="FD203" s="65"/>
      <c r="FE203" s="65"/>
      <c r="FF203" s="65"/>
      <c r="FG203" s="65"/>
      <c r="FH203" s="65"/>
      <c r="FI203" s="65"/>
      <c r="FJ203" s="65"/>
      <c r="FK203" s="65"/>
      <c r="FL203" s="65"/>
      <c r="FM203" s="65"/>
      <c r="FN203" s="65"/>
      <c r="FO203" s="65"/>
      <c r="FP203" s="65"/>
      <c r="FQ203" s="65"/>
      <c r="FR203" s="65"/>
      <c r="FS203" s="65"/>
      <c r="FT203" s="65"/>
      <c r="FU203" s="65"/>
    </row>
    <row r="204" spans="2:177" s="1" customFormat="1"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65"/>
      <c r="AA204" s="65"/>
      <c r="AB204" s="65"/>
      <c r="AC204" s="65"/>
      <c r="AD204" s="65"/>
      <c r="AE204" s="65"/>
      <c r="AF204" s="65"/>
      <c r="AG204" s="65"/>
      <c r="AH204" s="65"/>
      <c r="AI204" s="65"/>
      <c r="AJ204" s="65"/>
      <c r="AK204" s="65"/>
      <c r="AL204" s="65"/>
      <c r="AM204" s="65"/>
      <c r="AN204" s="65"/>
      <c r="AO204" s="65"/>
      <c r="AP204" s="65"/>
      <c r="AQ204" s="65"/>
      <c r="AR204" s="65"/>
      <c r="AS204" s="65"/>
      <c r="AT204" s="65"/>
      <c r="AU204" s="65"/>
      <c r="AV204" s="65"/>
      <c r="AW204" s="65"/>
      <c r="AX204" s="65"/>
      <c r="AY204" s="65"/>
      <c r="AZ204" s="65"/>
      <c r="BA204" s="65"/>
      <c r="BB204" s="65"/>
      <c r="BC204" s="65"/>
      <c r="BD204" s="65"/>
      <c r="BE204" s="65"/>
      <c r="BF204" s="65"/>
      <c r="BG204" s="65"/>
      <c r="BH204" s="65"/>
      <c r="BI204" s="65"/>
      <c r="BJ204" s="65"/>
      <c r="BK204" s="65"/>
      <c r="BL204" s="65"/>
      <c r="BM204" s="65"/>
      <c r="BN204" s="65"/>
      <c r="BO204" s="65"/>
      <c r="BP204" s="65"/>
      <c r="BQ204" s="65"/>
      <c r="BR204" s="65"/>
      <c r="BS204" s="65"/>
      <c r="BT204" s="65"/>
      <c r="BU204" s="65"/>
      <c r="BV204" s="65"/>
      <c r="BW204" s="65"/>
      <c r="BX204" s="65"/>
      <c r="BY204" s="65"/>
      <c r="BZ204" s="65"/>
      <c r="CA204" s="65"/>
      <c r="CB204" s="65"/>
      <c r="CC204" s="65"/>
      <c r="CD204" s="65"/>
      <c r="CE204" s="65"/>
      <c r="CF204" s="65"/>
      <c r="CG204" s="65"/>
      <c r="CH204" s="65"/>
      <c r="CI204" s="65"/>
      <c r="CJ204" s="65"/>
      <c r="CK204" s="65"/>
      <c r="CL204" s="65"/>
      <c r="CM204" s="65"/>
      <c r="CN204" s="65"/>
      <c r="CO204" s="65"/>
      <c r="CP204" s="65"/>
      <c r="CQ204" s="65"/>
      <c r="CR204" s="65"/>
      <c r="CS204" s="65"/>
      <c r="CT204" s="65"/>
      <c r="CU204" s="65"/>
      <c r="CV204" s="65"/>
      <c r="CW204" s="65"/>
      <c r="CX204" s="65"/>
      <c r="CY204" s="65"/>
      <c r="CZ204" s="65"/>
      <c r="DA204" s="65"/>
      <c r="DB204" s="65"/>
      <c r="DC204" s="65"/>
      <c r="DD204" s="65"/>
      <c r="DE204" s="65"/>
      <c r="DF204" s="65"/>
      <c r="DG204" s="65"/>
      <c r="DH204" s="65"/>
      <c r="DI204" s="65"/>
      <c r="DJ204" s="65"/>
      <c r="DK204" s="65"/>
      <c r="DL204" s="65"/>
      <c r="DM204" s="65"/>
      <c r="DN204" s="65"/>
      <c r="DO204" s="65"/>
      <c r="DP204" s="65"/>
      <c r="DQ204" s="65"/>
      <c r="DR204" s="65"/>
      <c r="DS204" s="65"/>
      <c r="DT204" s="65"/>
      <c r="DU204" s="65"/>
      <c r="DV204" s="65"/>
      <c r="DW204" s="65"/>
      <c r="DX204" s="65"/>
      <c r="DY204" s="65"/>
      <c r="DZ204" s="65"/>
      <c r="EA204" s="65"/>
      <c r="EB204" s="65"/>
      <c r="EC204" s="65"/>
      <c r="ED204" s="65"/>
      <c r="EE204" s="65"/>
      <c r="EF204" s="65"/>
      <c r="EG204" s="65"/>
      <c r="EH204" s="65"/>
      <c r="EI204" s="65"/>
      <c r="EJ204" s="65"/>
      <c r="EK204" s="65"/>
      <c r="EL204" s="65"/>
      <c r="EM204" s="65"/>
      <c r="EN204" s="65"/>
      <c r="EO204" s="65"/>
      <c r="EP204" s="65"/>
      <c r="EQ204" s="65"/>
      <c r="ER204" s="65"/>
      <c r="ES204" s="65"/>
      <c r="ET204" s="65"/>
      <c r="EU204" s="65"/>
      <c r="EV204" s="65"/>
      <c r="EW204" s="65"/>
      <c r="EX204" s="65"/>
      <c r="EY204" s="65"/>
      <c r="EZ204" s="65"/>
      <c r="FA204" s="65"/>
      <c r="FB204" s="65"/>
      <c r="FC204" s="65"/>
      <c r="FD204" s="65"/>
      <c r="FE204" s="65"/>
      <c r="FF204" s="65"/>
      <c r="FG204" s="65"/>
      <c r="FH204" s="65"/>
      <c r="FI204" s="65"/>
      <c r="FJ204" s="65"/>
      <c r="FK204" s="65"/>
      <c r="FL204" s="65"/>
      <c r="FM204" s="65"/>
      <c r="FN204" s="65"/>
      <c r="FO204" s="65"/>
      <c r="FP204" s="65"/>
      <c r="FQ204" s="65"/>
      <c r="FR204" s="65"/>
      <c r="FS204" s="65"/>
      <c r="FT204" s="65"/>
      <c r="FU204" s="65"/>
    </row>
    <row r="205" spans="2:177" s="1" customFormat="1"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  <c r="AJ205" s="65"/>
      <c r="AK205" s="65"/>
      <c r="AL205" s="65"/>
      <c r="AM205" s="65"/>
      <c r="AN205" s="65"/>
      <c r="AO205" s="65"/>
      <c r="AP205" s="65"/>
      <c r="AQ205" s="65"/>
      <c r="AR205" s="65"/>
      <c r="AS205" s="65"/>
      <c r="AT205" s="65"/>
      <c r="AU205" s="65"/>
      <c r="AV205" s="65"/>
      <c r="AW205" s="65"/>
      <c r="AX205" s="65"/>
      <c r="AY205" s="65"/>
      <c r="AZ205" s="65"/>
      <c r="BA205" s="65"/>
      <c r="BB205" s="65"/>
      <c r="BC205" s="65"/>
      <c r="BD205" s="65"/>
      <c r="BE205" s="65"/>
      <c r="BF205" s="65"/>
      <c r="BG205" s="65"/>
      <c r="BH205" s="65"/>
      <c r="BI205" s="65"/>
      <c r="BJ205" s="65"/>
      <c r="BK205" s="65"/>
      <c r="BL205" s="65"/>
      <c r="BM205" s="65"/>
      <c r="BN205" s="65"/>
      <c r="BO205" s="65"/>
      <c r="BP205" s="65"/>
      <c r="BQ205" s="65"/>
      <c r="BR205" s="65"/>
      <c r="BS205" s="65"/>
      <c r="BT205" s="65"/>
      <c r="BU205" s="65"/>
      <c r="BV205" s="65"/>
      <c r="BW205" s="65"/>
      <c r="BX205" s="65"/>
      <c r="BY205" s="65"/>
      <c r="BZ205" s="65"/>
      <c r="CA205" s="65"/>
      <c r="CB205" s="65"/>
      <c r="CC205" s="65"/>
      <c r="CD205" s="65"/>
      <c r="CE205" s="65"/>
      <c r="CF205" s="65"/>
      <c r="CG205" s="65"/>
      <c r="CH205" s="65"/>
      <c r="CI205" s="65"/>
      <c r="CJ205" s="65"/>
      <c r="CK205" s="65"/>
      <c r="CL205" s="65"/>
      <c r="CM205" s="65"/>
      <c r="CN205" s="65"/>
      <c r="CO205" s="65"/>
      <c r="CP205" s="65"/>
      <c r="CQ205" s="65"/>
      <c r="CR205" s="65"/>
      <c r="CS205" s="65"/>
      <c r="CT205" s="65"/>
      <c r="CU205" s="65"/>
      <c r="CV205" s="65"/>
      <c r="CW205" s="65"/>
      <c r="CX205" s="65"/>
      <c r="CY205" s="65"/>
      <c r="CZ205" s="65"/>
      <c r="DA205" s="65"/>
      <c r="DB205" s="65"/>
      <c r="DC205" s="65"/>
      <c r="DD205" s="65"/>
      <c r="DE205" s="65"/>
      <c r="DF205" s="65"/>
      <c r="DG205" s="65"/>
      <c r="DH205" s="65"/>
      <c r="DI205" s="65"/>
      <c r="DJ205" s="65"/>
      <c r="DK205" s="65"/>
      <c r="DL205" s="65"/>
      <c r="DM205" s="65"/>
      <c r="DN205" s="65"/>
      <c r="DO205" s="65"/>
      <c r="DP205" s="65"/>
      <c r="DQ205" s="65"/>
      <c r="DR205" s="65"/>
      <c r="DS205" s="65"/>
      <c r="DT205" s="65"/>
      <c r="DU205" s="65"/>
      <c r="DV205" s="65"/>
      <c r="DW205" s="65"/>
      <c r="DX205" s="65"/>
      <c r="DY205" s="65"/>
      <c r="DZ205" s="65"/>
      <c r="EA205" s="65"/>
      <c r="EB205" s="65"/>
      <c r="EC205" s="65"/>
      <c r="ED205" s="65"/>
      <c r="EE205" s="65"/>
      <c r="EF205" s="65"/>
      <c r="EG205" s="65"/>
      <c r="EH205" s="65"/>
      <c r="EI205" s="65"/>
      <c r="EJ205" s="65"/>
      <c r="EK205" s="65"/>
      <c r="EL205" s="65"/>
      <c r="EM205" s="65"/>
      <c r="EN205" s="65"/>
      <c r="EO205" s="65"/>
      <c r="EP205" s="65"/>
      <c r="EQ205" s="65"/>
      <c r="ER205" s="65"/>
      <c r="ES205" s="65"/>
      <c r="ET205" s="65"/>
      <c r="EU205" s="65"/>
      <c r="EV205" s="65"/>
      <c r="EW205" s="65"/>
      <c r="EX205" s="65"/>
      <c r="EY205" s="65"/>
      <c r="EZ205" s="65"/>
      <c r="FA205" s="65"/>
      <c r="FB205" s="65"/>
      <c r="FC205" s="65"/>
      <c r="FD205" s="65"/>
      <c r="FE205" s="65"/>
      <c r="FF205" s="65"/>
      <c r="FG205" s="65"/>
      <c r="FH205" s="65"/>
      <c r="FI205" s="65"/>
      <c r="FJ205" s="65"/>
      <c r="FK205" s="65"/>
      <c r="FL205" s="65"/>
      <c r="FM205" s="65"/>
      <c r="FN205" s="65"/>
      <c r="FO205" s="65"/>
      <c r="FP205" s="65"/>
      <c r="FQ205" s="65"/>
      <c r="FR205" s="65"/>
      <c r="FS205" s="65"/>
      <c r="FT205" s="65"/>
      <c r="FU205" s="65"/>
    </row>
    <row r="206" spans="2:177" s="1" customFormat="1"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5"/>
      <c r="Z206" s="65"/>
      <c r="AA206" s="65"/>
      <c r="AB206" s="65"/>
      <c r="AC206" s="65"/>
      <c r="AD206" s="65"/>
      <c r="AE206" s="65"/>
      <c r="AF206" s="65"/>
      <c r="AG206" s="65"/>
      <c r="AH206" s="65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  <c r="AS206" s="65"/>
      <c r="AT206" s="65"/>
      <c r="AU206" s="65"/>
      <c r="AV206" s="65"/>
      <c r="AW206" s="65"/>
      <c r="AX206" s="65"/>
      <c r="AY206" s="65"/>
      <c r="AZ206" s="65"/>
      <c r="BA206" s="65"/>
      <c r="BB206" s="65"/>
      <c r="BC206" s="65"/>
      <c r="BD206" s="65"/>
      <c r="BE206" s="65"/>
      <c r="BF206" s="65"/>
      <c r="BG206" s="65"/>
      <c r="BH206" s="65"/>
      <c r="BI206" s="65"/>
      <c r="BJ206" s="65"/>
      <c r="BK206" s="65"/>
      <c r="BL206" s="65"/>
      <c r="BM206" s="65"/>
      <c r="BN206" s="65"/>
      <c r="BO206" s="65"/>
      <c r="BP206" s="65"/>
      <c r="BQ206" s="65"/>
      <c r="BR206" s="65"/>
      <c r="BS206" s="65"/>
      <c r="BT206" s="65"/>
      <c r="BU206" s="65"/>
      <c r="BV206" s="65"/>
      <c r="BW206" s="65"/>
      <c r="BX206" s="65"/>
      <c r="BY206" s="65"/>
      <c r="BZ206" s="65"/>
      <c r="CA206" s="65"/>
      <c r="CB206" s="65"/>
      <c r="CC206" s="65"/>
      <c r="CD206" s="65"/>
      <c r="CE206" s="65"/>
      <c r="CF206" s="65"/>
      <c r="CG206" s="65"/>
      <c r="CH206" s="65"/>
      <c r="CI206" s="65"/>
      <c r="CJ206" s="65"/>
      <c r="CK206" s="65"/>
      <c r="CL206" s="65"/>
      <c r="CM206" s="65"/>
      <c r="CN206" s="65"/>
      <c r="CO206" s="65"/>
      <c r="CP206" s="65"/>
      <c r="CQ206" s="65"/>
      <c r="CR206" s="65"/>
      <c r="CS206" s="65"/>
      <c r="CT206" s="65"/>
      <c r="CU206" s="65"/>
      <c r="CV206" s="65"/>
      <c r="CW206" s="65"/>
      <c r="CX206" s="65"/>
      <c r="CY206" s="65"/>
      <c r="CZ206" s="65"/>
      <c r="DA206" s="65"/>
      <c r="DB206" s="65"/>
      <c r="DC206" s="65"/>
      <c r="DD206" s="65"/>
      <c r="DE206" s="65"/>
      <c r="DF206" s="65"/>
      <c r="DG206" s="65"/>
      <c r="DH206" s="65"/>
      <c r="DI206" s="65"/>
      <c r="DJ206" s="65"/>
      <c r="DK206" s="65"/>
      <c r="DL206" s="65"/>
      <c r="DM206" s="65"/>
      <c r="DN206" s="65"/>
      <c r="DO206" s="65"/>
      <c r="DP206" s="65"/>
      <c r="DQ206" s="65"/>
      <c r="DR206" s="65"/>
      <c r="DS206" s="65"/>
      <c r="DT206" s="65"/>
      <c r="DU206" s="65"/>
      <c r="DV206" s="65"/>
      <c r="DW206" s="65"/>
      <c r="DX206" s="65"/>
      <c r="DY206" s="65"/>
      <c r="DZ206" s="65"/>
      <c r="EA206" s="65"/>
      <c r="EB206" s="65"/>
      <c r="EC206" s="65"/>
      <c r="ED206" s="65"/>
      <c r="EE206" s="65"/>
      <c r="EF206" s="65"/>
      <c r="EG206" s="65"/>
      <c r="EH206" s="65"/>
      <c r="EI206" s="65"/>
      <c r="EJ206" s="65"/>
      <c r="EK206" s="65"/>
      <c r="EL206" s="65"/>
      <c r="EM206" s="65"/>
      <c r="EN206" s="65"/>
      <c r="EO206" s="65"/>
      <c r="EP206" s="65"/>
      <c r="EQ206" s="65"/>
      <c r="ER206" s="65"/>
      <c r="ES206" s="65"/>
      <c r="ET206" s="65"/>
      <c r="EU206" s="65"/>
      <c r="EV206" s="65"/>
      <c r="EW206" s="65"/>
      <c r="EX206" s="65"/>
      <c r="EY206" s="65"/>
      <c r="EZ206" s="65"/>
      <c r="FA206" s="65"/>
      <c r="FB206" s="65"/>
      <c r="FC206" s="65"/>
      <c r="FD206" s="65"/>
      <c r="FE206" s="65"/>
      <c r="FF206" s="65"/>
      <c r="FG206" s="65"/>
      <c r="FH206" s="65"/>
      <c r="FI206" s="65"/>
      <c r="FJ206" s="65"/>
      <c r="FK206" s="65"/>
      <c r="FL206" s="65"/>
      <c r="FM206" s="65"/>
      <c r="FN206" s="65"/>
      <c r="FO206" s="65"/>
      <c r="FP206" s="65"/>
      <c r="FQ206" s="65"/>
      <c r="FR206" s="65"/>
      <c r="FS206" s="65"/>
      <c r="FT206" s="65"/>
      <c r="FU206" s="65"/>
    </row>
    <row r="207" spans="2:177" s="1" customFormat="1"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5"/>
      <c r="Z207" s="65"/>
      <c r="AA207" s="65"/>
      <c r="AB207" s="65"/>
      <c r="AC207" s="65"/>
      <c r="AD207" s="65"/>
      <c r="AE207" s="65"/>
      <c r="AF207" s="65"/>
      <c r="AG207" s="65"/>
      <c r="AH207" s="65"/>
      <c r="AI207" s="65"/>
      <c r="AJ207" s="65"/>
      <c r="AK207" s="65"/>
      <c r="AL207" s="65"/>
      <c r="AM207" s="65"/>
      <c r="AN207" s="65"/>
      <c r="AO207" s="65"/>
      <c r="AP207" s="65"/>
      <c r="AQ207" s="65"/>
      <c r="AR207" s="65"/>
      <c r="AS207" s="65"/>
      <c r="AT207" s="65"/>
      <c r="AU207" s="65"/>
      <c r="AV207" s="65"/>
      <c r="AW207" s="65"/>
      <c r="AX207" s="65"/>
      <c r="AY207" s="65"/>
      <c r="AZ207" s="65"/>
      <c r="BA207" s="65"/>
      <c r="BB207" s="65"/>
      <c r="BC207" s="65"/>
      <c r="BD207" s="65"/>
      <c r="BE207" s="65"/>
      <c r="BF207" s="65"/>
      <c r="BG207" s="65"/>
      <c r="BH207" s="65"/>
      <c r="BI207" s="65"/>
      <c r="BJ207" s="65"/>
      <c r="BK207" s="65"/>
      <c r="BL207" s="65"/>
      <c r="BM207" s="65"/>
      <c r="BN207" s="65"/>
      <c r="BO207" s="65"/>
      <c r="BP207" s="65"/>
      <c r="BQ207" s="65"/>
      <c r="BR207" s="65"/>
      <c r="BS207" s="65"/>
      <c r="BT207" s="65"/>
      <c r="BU207" s="65"/>
      <c r="BV207" s="65"/>
      <c r="BW207" s="65"/>
      <c r="BX207" s="65"/>
      <c r="BY207" s="65"/>
      <c r="BZ207" s="65"/>
      <c r="CA207" s="65"/>
      <c r="CB207" s="65"/>
      <c r="CC207" s="65"/>
      <c r="CD207" s="65"/>
      <c r="CE207" s="65"/>
      <c r="CF207" s="65"/>
      <c r="CG207" s="65"/>
      <c r="CH207" s="65"/>
      <c r="CI207" s="65"/>
      <c r="CJ207" s="65"/>
      <c r="CK207" s="65"/>
      <c r="CL207" s="65"/>
      <c r="CM207" s="65"/>
      <c r="CN207" s="65"/>
      <c r="CO207" s="65"/>
      <c r="CP207" s="65"/>
      <c r="CQ207" s="65"/>
      <c r="CR207" s="65"/>
      <c r="CS207" s="65"/>
      <c r="CT207" s="65"/>
      <c r="CU207" s="65"/>
      <c r="CV207" s="65"/>
      <c r="CW207" s="65"/>
      <c r="CX207" s="65"/>
      <c r="CY207" s="65"/>
      <c r="CZ207" s="65"/>
      <c r="DA207" s="65"/>
      <c r="DB207" s="65"/>
      <c r="DC207" s="65"/>
      <c r="DD207" s="65"/>
      <c r="DE207" s="65"/>
      <c r="DF207" s="65"/>
      <c r="DG207" s="65"/>
      <c r="DH207" s="65"/>
      <c r="DI207" s="65"/>
      <c r="DJ207" s="65"/>
      <c r="DK207" s="65"/>
      <c r="DL207" s="65"/>
      <c r="DM207" s="65"/>
      <c r="DN207" s="65"/>
      <c r="DO207" s="65"/>
      <c r="DP207" s="65"/>
      <c r="DQ207" s="65"/>
      <c r="DR207" s="65"/>
      <c r="DS207" s="65"/>
      <c r="DT207" s="65"/>
      <c r="DU207" s="65"/>
      <c r="DV207" s="65"/>
      <c r="DW207" s="65"/>
      <c r="DX207" s="65"/>
      <c r="DY207" s="65"/>
      <c r="DZ207" s="65"/>
      <c r="EA207" s="65"/>
      <c r="EB207" s="65"/>
      <c r="EC207" s="65"/>
      <c r="ED207" s="65"/>
      <c r="EE207" s="65"/>
      <c r="EF207" s="65"/>
      <c r="EG207" s="65"/>
      <c r="EH207" s="65"/>
      <c r="EI207" s="65"/>
      <c r="EJ207" s="65"/>
      <c r="EK207" s="65"/>
      <c r="EL207" s="65"/>
      <c r="EM207" s="65"/>
      <c r="EN207" s="65"/>
      <c r="EO207" s="65"/>
      <c r="EP207" s="65"/>
      <c r="EQ207" s="65"/>
      <c r="ER207" s="65"/>
      <c r="ES207" s="65"/>
      <c r="ET207" s="65"/>
      <c r="EU207" s="65"/>
      <c r="EV207" s="65"/>
      <c r="EW207" s="65"/>
      <c r="EX207" s="65"/>
      <c r="EY207" s="65"/>
      <c r="EZ207" s="65"/>
      <c r="FA207" s="65"/>
      <c r="FB207" s="65"/>
      <c r="FC207" s="65"/>
      <c r="FD207" s="65"/>
      <c r="FE207" s="65"/>
      <c r="FF207" s="65"/>
      <c r="FG207" s="65"/>
      <c r="FH207" s="65"/>
      <c r="FI207" s="65"/>
      <c r="FJ207" s="65"/>
      <c r="FK207" s="65"/>
      <c r="FL207" s="65"/>
      <c r="FM207" s="65"/>
      <c r="FN207" s="65"/>
      <c r="FO207" s="65"/>
      <c r="FP207" s="65"/>
      <c r="FQ207" s="65"/>
      <c r="FR207" s="65"/>
      <c r="FS207" s="65"/>
      <c r="FT207" s="65"/>
      <c r="FU207" s="65"/>
    </row>
    <row r="208" spans="2:177" s="1" customFormat="1"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5"/>
      <c r="Y208" s="65"/>
      <c r="Z208" s="65"/>
      <c r="AA208" s="65"/>
      <c r="AB208" s="65"/>
      <c r="AC208" s="65"/>
      <c r="AD208" s="65"/>
      <c r="AE208" s="65"/>
      <c r="AF208" s="65"/>
      <c r="AG208" s="65"/>
      <c r="AH208" s="65"/>
      <c r="AI208" s="65"/>
      <c r="AJ208" s="65"/>
      <c r="AK208" s="65"/>
      <c r="AL208" s="65"/>
      <c r="AM208" s="65"/>
      <c r="AN208" s="65"/>
      <c r="AO208" s="65"/>
      <c r="AP208" s="65"/>
      <c r="AQ208" s="65"/>
      <c r="AR208" s="65"/>
      <c r="AS208" s="65"/>
      <c r="AT208" s="65"/>
      <c r="AU208" s="65"/>
      <c r="AV208" s="65"/>
      <c r="AW208" s="65"/>
      <c r="AX208" s="65"/>
      <c r="AY208" s="65"/>
      <c r="AZ208" s="65"/>
      <c r="BA208" s="65"/>
      <c r="BB208" s="65"/>
      <c r="BC208" s="65"/>
      <c r="BD208" s="65"/>
      <c r="BE208" s="65"/>
      <c r="BF208" s="65"/>
      <c r="BG208" s="65"/>
      <c r="BH208" s="65"/>
      <c r="BI208" s="65"/>
      <c r="BJ208" s="65"/>
      <c r="BK208" s="65"/>
      <c r="BL208" s="65"/>
      <c r="BM208" s="65"/>
      <c r="BN208" s="65"/>
      <c r="BO208" s="65"/>
      <c r="BP208" s="65"/>
      <c r="BQ208" s="65"/>
      <c r="BR208" s="65"/>
      <c r="BS208" s="65"/>
      <c r="BT208" s="65"/>
      <c r="BU208" s="65"/>
      <c r="BV208" s="65"/>
      <c r="BW208" s="65"/>
      <c r="BX208" s="65"/>
      <c r="BY208" s="65"/>
      <c r="BZ208" s="65"/>
      <c r="CA208" s="65"/>
      <c r="CB208" s="65"/>
      <c r="CC208" s="65"/>
      <c r="CD208" s="65"/>
      <c r="CE208" s="65"/>
      <c r="CF208" s="65"/>
      <c r="CG208" s="65"/>
      <c r="CH208" s="65"/>
      <c r="CI208" s="65"/>
      <c r="CJ208" s="65"/>
      <c r="CK208" s="65"/>
      <c r="CL208" s="65"/>
      <c r="CM208" s="65"/>
      <c r="CN208" s="65"/>
      <c r="CO208" s="65"/>
      <c r="CP208" s="65"/>
      <c r="CQ208" s="65"/>
      <c r="CR208" s="65"/>
      <c r="CS208" s="65"/>
      <c r="CT208" s="65"/>
      <c r="CU208" s="65"/>
      <c r="CV208" s="65"/>
      <c r="CW208" s="65"/>
      <c r="CX208" s="65"/>
      <c r="CY208" s="65"/>
      <c r="CZ208" s="65"/>
      <c r="DA208" s="65"/>
      <c r="DB208" s="65"/>
      <c r="DC208" s="65"/>
      <c r="DD208" s="65"/>
      <c r="DE208" s="65"/>
      <c r="DF208" s="65"/>
      <c r="DG208" s="65"/>
      <c r="DH208" s="65"/>
      <c r="DI208" s="65"/>
      <c r="DJ208" s="65"/>
      <c r="DK208" s="65"/>
      <c r="DL208" s="65"/>
      <c r="DM208" s="65"/>
      <c r="DN208" s="65"/>
      <c r="DO208" s="65"/>
      <c r="DP208" s="65"/>
      <c r="DQ208" s="65"/>
      <c r="DR208" s="65"/>
      <c r="DS208" s="65"/>
      <c r="DT208" s="65"/>
      <c r="DU208" s="65"/>
      <c r="DV208" s="65"/>
      <c r="DW208" s="65"/>
      <c r="DX208" s="65"/>
      <c r="DY208" s="65"/>
      <c r="DZ208" s="65"/>
      <c r="EA208" s="65"/>
      <c r="EB208" s="65"/>
      <c r="EC208" s="65"/>
      <c r="ED208" s="65"/>
      <c r="EE208" s="65"/>
      <c r="EF208" s="65"/>
      <c r="EG208" s="65"/>
      <c r="EH208" s="65"/>
      <c r="EI208" s="65"/>
      <c r="EJ208" s="65"/>
      <c r="EK208" s="65"/>
      <c r="EL208" s="65"/>
      <c r="EM208" s="65"/>
      <c r="EN208" s="65"/>
      <c r="EO208" s="65"/>
      <c r="EP208" s="65"/>
      <c r="EQ208" s="65"/>
      <c r="ER208" s="65"/>
      <c r="ES208" s="65"/>
      <c r="ET208" s="65"/>
      <c r="EU208" s="65"/>
      <c r="EV208" s="65"/>
      <c r="EW208" s="65"/>
      <c r="EX208" s="65"/>
      <c r="EY208" s="65"/>
      <c r="EZ208" s="65"/>
      <c r="FA208" s="65"/>
      <c r="FB208" s="65"/>
      <c r="FC208" s="65"/>
      <c r="FD208" s="65"/>
      <c r="FE208" s="65"/>
      <c r="FF208" s="65"/>
      <c r="FG208" s="65"/>
      <c r="FH208" s="65"/>
      <c r="FI208" s="65"/>
      <c r="FJ208" s="65"/>
      <c r="FK208" s="65"/>
      <c r="FL208" s="65"/>
      <c r="FM208" s="65"/>
      <c r="FN208" s="65"/>
      <c r="FO208" s="65"/>
      <c r="FP208" s="65"/>
      <c r="FQ208" s="65"/>
      <c r="FR208" s="65"/>
      <c r="FS208" s="65"/>
      <c r="FT208" s="65"/>
      <c r="FU208" s="65"/>
    </row>
    <row r="209" spans="10:177" s="1" customFormat="1"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  <c r="AA209" s="65"/>
      <c r="AB209" s="65"/>
      <c r="AC209" s="65"/>
      <c r="AD209" s="65"/>
      <c r="AE209" s="65"/>
      <c r="AF209" s="65"/>
      <c r="AG209" s="65"/>
      <c r="AH209" s="65"/>
      <c r="AI209" s="65"/>
      <c r="AJ209" s="65"/>
      <c r="AK209" s="65"/>
      <c r="AL209" s="65"/>
      <c r="AM209" s="65"/>
      <c r="AN209" s="65"/>
      <c r="AO209" s="65"/>
      <c r="AP209" s="65"/>
      <c r="AQ209" s="65"/>
      <c r="AR209" s="65"/>
      <c r="AS209" s="65"/>
      <c r="AT209" s="65"/>
      <c r="AU209" s="65"/>
      <c r="AV209" s="65"/>
      <c r="AW209" s="65"/>
      <c r="AX209" s="65"/>
      <c r="AY209" s="65"/>
      <c r="AZ209" s="65"/>
      <c r="BA209" s="65"/>
      <c r="BB209" s="65"/>
      <c r="BC209" s="65"/>
      <c r="BD209" s="65"/>
      <c r="BE209" s="65"/>
      <c r="BF209" s="65"/>
      <c r="BG209" s="65"/>
      <c r="BH209" s="65"/>
      <c r="BI209" s="65"/>
      <c r="BJ209" s="65"/>
      <c r="BK209" s="65"/>
      <c r="BL209" s="65"/>
      <c r="BM209" s="65"/>
      <c r="BN209" s="65"/>
      <c r="BO209" s="65"/>
      <c r="BP209" s="65"/>
      <c r="BQ209" s="65"/>
      <c r="BR209" s="65"/>
      <c r="BS209" s="65"/>
      <c r="BT209" s="65"/>
      <c r="BU209" s="65"/>
      <c r="BV209" s="65"/>
      <c r="BW209" s="65"/>
      <c r="BX209" s="65"/>
      <c r="BY209" s="65"/>
      <c r="BZ209" s="65"/>
      <c r="CA209" s="65"/>
      <c r="CB209" s="65"/>
      <c r="CC209" s="65"/>
      <c r="CD209" s="65"/>
      <c r="CE209" s="65"/>
      <c r="CF209" s="65"/>
      <c r="CG209" s="65"/>
      <c r="CH209" s="65"/>
      <c r="CI209" s="65"/>
      <c r="CJ209" s="65"/>
      <c r="CK209" s="65"/>
      <c r="CL209" s="65"/>
      <c r="CM209" s="65"/>
      <c r="CN209" s="65"/>
      <c r="CO209" s="65"/>
      <c r="CP209" s="65"/>
      <c r="CQ209" s="65"/>
      <c r="CR209" s="65"/>
      <c r="CS209" s="65"/>
      <c r="CT209" s="65"/>
      <c r="CU209" s="65"/>
      <c r="CV209" s="65"/>
      <c r="CW209" s="65"/>
      <c r="CX209" s="65"/>
      <c r="CY209" s="65"/>
      <c r="CZ209" s="65"/>
      <c r="DA209" s="65"/>
      <c r="DB209" s="65"/>
      <c r="DC209" s="65"/>
      <c r="DD209" s="65"/>
      <c r="DE209" s="65"/>
      <c r="DF209" s="65"/>
      <c r="DG209" s="65"/>
      <c r="DH209" s="65"/>
      <c r="DI209" s="65"/>
      <c r="DJ209" s="65"/>
      <c r="DK209" s="65"/>
      <c r="DL209" s="65"/>
      <c r="DM209" s="65"/>
      <c r="DN209" s="65"/>
      <c r="DO209" s="65"/>
      <c r="DP209" s="65"/>
      <c r="DQ209" s="65"/>
      <c r="DR209" s="65"/>
      <c r="DS209" s="65"/>
      <c r="DT209" s="65"/>
      <c r="DU209" s="65"/>
      <c r="DV209" s="65"/>
      <c r="DW209" s="65"/>
      <c r="DX209" s="65"/>
      <c r="DY209" s="65"/>
      <c r="DZ209" s="65"/>
      <c r="EA209" s="65"/>
      <c r="EB209" s="65"/>
      <c r="EC209" s="65"/>
      <c r="ED209" s="65"/>
      <c r="EE209" s="65"/>
      <c r="EF209" s="65"/>
      <c r="EG209" s="65"/>
      <c r="EH209" s="65"/>
      <c r="EI209" s="65"/>
      <c r="EJ209" s="65"/>
      <c r="EK209" s="65"/>
      <c r="EL209" s="65"/>
      <c r="EM209" s="65"/>
      <c r="EN209" s="65"/>
      <c r="EO209" s="65"/>
      <c r="EP209" s="65"/>
      <c r="EQ209" s="65"/>
      <c r="ER209" s="65"/>
      <c r="ES209" s="65"/>
      <c r="ET209" s="65"/>
      <c r="EU209" s="65"/>
      <c r="EV209" s="65"/>
      <c r="EW209" s="65"/>
      <c r="EX209" s="65"/>
      <c r="EY209" s="65"/>
      <c r="EZ209" s="65"/>
      <c r="FA209" s="65"/>
      <c r="FB209" s="65"/>
      <c r="FC209" s="65"/>
      <c r="FD209" s="65"/>
      <c r="FE209" s="65"/>
      <c r="FF209" s="65"/>
      <c r="FG209" s="65"/>
      <c r="FH209" s="65"/>
      <c r="FI209" s="65"/>
      <c r="FJ209" s="65"/>
      <c r="FK209" s="65"/>
      <c r="FL209" s="65"/>
      <c r="FM209" s="65"/>
      <c r="FN209" s="65"/>
      <c r="FO209" s="65"/>
      <c r="FP209" s="65"/>
      <c r="FQ209" s="65"/>
      <c r="FR209" s="65"/>
      <c r="FS209" s="65"/>
      <c r="FT209" s="65"/>
      <c r="FU209" s="65"/>
    </row>
    <row r="210" spans="10:177" s="1" customFormat="1"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  <c r="AO210" s="65"/>
      <c r="AP210" s="65"/>
      <c r="AQ210" s="65"/>
      <c r="AR210" s="65"/>
      <c r="AS210" s="65"/>
      <c r="AT210" s="65"/>
      <c r="AU210" s="65"/>
      <c r="AV210" s="65"/>
      <c r="AW210" s="65"/>
      <c r="AX210" s="65"/>
      <c r="AY210" s="65"/>
      <c r="AZ210" s="65"/>
      <c r="BA210" s="65"/>
      <c r="BB210" s="65"/>
      <c r="BC210" s="65"/>
      <c r="BD210" s="65"/>
      <c r="BE210" s="65"/>
      <c r="BF210" s="65"/>
      <c r="BG210" s="65"/>
      <c r="BH210" s="65"/>
      <c r="BI210" s="65"/>
      <c r="BJ210" s="65"/>
      <c r="BK210" s="65"/>
      <c r="BL210" s="65"/>
      <c r="BM210" s="65"/>
      <c r="BN210" s="65"/>
      <c r="BO210" s="65"/>
      <c r="BP210" s="65"/>
      <c r="BQ210" s="65"/>
      <c r="BR210" s="65"/>
      <c r="BS210" s="65"/>
      <c r="BT210" s="65"/>
      <c r="BU210" s="65"/>
      <c r="BV210" s="65"/>
      <c r="BW210" s="65"/>
      <c r="BX210" s="65"/>
      <c r="BY210" s="65"/>
      <c r="BZ210" s="65"/>
      <c r="CA210" s="65"/>
      <c r="CB210" s="65"/>
      <c r="CC210" s="65"/>
      <c r="CD210" s="65"/>
      <c r="CE210" s="65"/>
      <c r="CF210" s="65"/>
      <c r="CG210" s="65"/>
      <c r="CH210" s="65"/>
      <c r="CI210" s="65"/>
      <c r="CJ210" s="65"/>
      <c r="CK210" s="65"/>
      <c r="CL210" s="65"/>
      <c r="CM210" s="65"/>
      <c r="CN210" s="65"/>
      <c r="CO210" s="65"/>
      <c r="CP210" s="65"/>
      <c r="CQ210" s="65"/>
      <c r="CR210" s="65"/>
      <c r="CS210" s="65"/>
      <c r="CT210" s="65"/>
      <c r="CU210" s="65"/>
      <c r="CV210" s="65"/>
      <c r="CW210" s="65"/>
      <c r="CX210" s="65"/>
      <c r="CY210" s="65"/>
      <c r="CZ210" s="65"/>
      <c r="DA210" s="65"/>
      <c r="DB210" s="65"/>
      <c r="DC210" s="65"/>
      <c r="DD210" s="65"/>
      <c r="DE210" s="65"/>
      <c r="DF210" s="65"/>
      <c r="DG210" s="65"/>
      <c r="DH210" s="65"/>
      <c r="DI210" s="65"/>
      <c r="DJ210" s="65"/>
      <c r="DK210" s="65"/>
      <c r="DL210" s="65"/>
      <c r="DM210" s="65"/>
      <c r="DN210" s="65"/>
      <c r="DO210" s="65"/>
      <c r="DP210" s="65"/>
      <c r="DQ210" s="65"/>
      <c r="DR210" s="65"/>
      <c r="DS210" s="65"/>
      <c r="DT210" s="65"/>
      <c r="DU210" s="65"/>
      <c r="DV210" s="65"/>
      <c r="DW210" s="65"/>
      <c r="DX210" s="65"/>
      <c r="DY210" s="65"/>
      <c r="DZ210" s="65"/>
      <c r="EA210" s="65"/>
      <c r="EB210" s="65"/>
      <c r="EC210" s="65"/>
      <c r="ED210" s="65"/>
      <c r="EE210" s="65"/>
      <c r="EF210" s="65"/>
      <c r="EG210" s="65"/>
      <c r="EH210" s="65"/>
      <c r="EI210" s="65"/>
      <c r="EJ210" s="65"/>
      <c r="EK210" s="65"/>
      <c r="EL210" s="65"/>
      <c r="EM210" s="65"/>
      <c r="EN210" s="65"/>
      <c r="EO210" s="65"/>
      <c r="EP210" s="65"/>
      <c r="EQ210" s="65"/>
      <c r="ER210" s="65"/>
      <c r="ES210" s="65"/>
      <c r="ET210" s="65"/>
      <c r="EU210" s="65"/>
      <c r="EV210" s="65"/>
      <c r="EW210" s="65"/>
      <c r="EX210" s="65"/>
      <c r="EY210" s="65"/>
      <c r="EZ210" s="65"/>
      <c r="FA210" s="65"/>
      <c r="FB210" s="65"/>
      <c r="FC210" s="65"/>
      <c r="FD210" s="65"/>
      <c r="FE210" s="65"/>
      <c r="FF210" s="65"/>
      <c r="FG210" s="65"/>
      <c r="FH210" s="65"/>
      <c r="FI210" s="65"/>
      <c r="FJ210" s="65"/>
      <c r="FK210" s="65"/>
      <c r="FL210" s="65"/>
      <c r="FM210" s="65"/>
      <c r="FN210" s="65"/>
      <c r="FO210" s="65"/>
      <c r="FP210" s="65"/>
      <c r="FQ210" s="65"/>
      <c r="FR210" s="65"/>
      <c r="FS210" s="65"/>
      <c r="FT210" s="65"/>
      <c r="FU210" s="65"/>
    </row>
    <row r="211" spans="10:177" s="1" customFormat="1"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65"/>
      <c r="AA211" s="65"/>
      <c r="AB211" s="65"/>
      <c r="AC211" s="65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/>
      <c r="AN211" s="65"/>
      <c r="AO211" s="65"/>
      <c r="AP211" s="65"/>
      <c r="AQ211" s="65"/>
      <c r="AR211" s="65"/>
      <c r="AS211" s="65"/>
      <c r="AT211" s="65"/>
      <c r="AU211" s="65"/>
      <c r="AV211" s="65"/>
      <c r="AW211" s="65"/>
      <c r="AX211" s="65"/>
      <c r="AY211" s="65"/>
      <c r="AZ211" s="65"/>
      <c r="BA211" s="65"/>
      <c r="BB211" s="65"/>
      <c r="BC211" s="65"/>
      <c r="BD211" s="65"/>
      <c r="BE211" s="65"/>
      <c r="BF211" s="65"/>
      <c r="BG211" s="65"/>
      <c r="BH211" s="65"/>
      <c r="BI211" s="65"/>
      <c r="BJ211" s="65"/>
      <c r="BK211" s="65"/>
      <c r="BL211" s="65"/>
      <c r="BM211" s="65"/>
      <c r="BN211" s="65"/>
      <c r="BO211" s="65"/>
      <c r="BP211" s="65"/>
      <c r="BQ211" s="65"/>
      <c r="BR211" s="65"/>
      <c r="BS211" s="65"/>
      <c r="BT211" s="65"/>
      <c r="BU211" s="65"/>
      <c r="BV211" s="65"/>
      <c r="BW211" s="65"/>
      <c r="BX211" s="65"/>
      <c r="BY211" s="65"/>
      <c r="BZ211" s="65"/>
      <c r="CA211" s="65"/>
      <c r="CB211" s="65"/>
      <c r="CC211" s="65"/>
      <c r="CD211" s="65"/>
      <c r="CE211" s="65"/>
      <c r="CF211" s="65"/>
      <c r="CG211" s="65"/>
      <c r="CH211" s="65"/>
      <c r="CI211" s="65"/>
      <c r="CJ211" s="65"/>
      <c r="CK211" s="65"/>
      <c r="CL211" s="65"/>
      <c r="CM211" s="65"/>
      <c r="CN211" s="65"/>
      <c r="CO211" s="65"/>
      <c r="CP211" s="65"/>
      <c r="CQ211" s="65"/>
      <c r="CR211" s="65"/>
      <c r="CS211" s="65"/>
      <c r="CT211" s="65"/>
      <c r="CU211" s="65"/>
      <c r="CV211" s="65"/>
      <c r="CW211" s="65"/>
      <c r="CX211" s="65"/>
      <c r="CY211" s="65"/>
      <c r="CZ211" s="65"/>
      <c r="DA211" s="65"/>
      <c r="DB211" s="65"/>
      <c r="DC211" s="65"/>
      <c r="DD211" s="65"/>
      <c r="DE211" s="65"/>
      <c r="DF211" s="65"/>
      <c r="DG211" s="65"/>
      <c r="DH211" s="65"/>
      <c r="DI211" s="65"/>
      <c r="DJ211" s="65"/>
      <c r="DK211" s="65"/>
      <c r="DL211" s="65"/>
      <c r="DM211" s="65"/>
      <c r="DN211" s="65"/>
      <c r="DO211" s="65"/>
      <c r="DP211" s="65"/>
      <c r="DQ211" s="65"/>
      <c r="DR211" s="65"/>
      <c r="DS211" s="65"/>
      <c r="DT211" s="65"/>
      <c r="DU211" s="65"/>
      <c r="DV211" s="65"/>
      <c r="DW211" s="65"/>
      <c r="DX211" s="65"/>
      <c r="DY211" s="65"/>
      <c r="DZ211" s="65"/>
      <c r="EA211" s="65"/>
      <c r="EB211" s="65"/>
      <c r="EC211" s="65"/>
      <c r="ED211" s="65"/>
      <c r="EE211" s="65"/>
      <c r="EF211" s="65"/>
      <c r="EG211" s="65"/>
      <c r="EH211" s="65"/>
      <c r="EI211" s="65"/>
      <c r="EJ211" s="65"/>
      <c r="EK211" s="65"/>
      <c r="EL211" s="65"/>
      <c r="EM211" s="65"/>
      <c r="EN211" s="65"/>
      <c r="EO211" s="65"/>
      <c r="EP211" s="65"/>
      <c r="EQ211" s="65"/>
      <c r="ER211" s="65"/>
      <c r="ES211" s="65"/>
      <c r="ET211" s="65"/>
      <c r="EU211" s="65"/>
      <c r="EV211" s="65"/>
      <c r="EW211" s="65"/>
      <c r="EX211" s="65"/>
      <c r="EY211" s="65"/>
      <c r="EZ211" s="65"/>
      <c r="FA211" s="65"/>
      <c r="FB211" s="65"/>
      <c r="FC211" s="65"/>
      <c r="FD211" s="65"/>
      <c r="FE211" s="65"/>
      <c r="FF211" s="65"/>
      <c r="FG211" s="65"/>
      <c r="FH211" s="65"/>
      <c r="FI211" s="65"/>
      <c r="FJ211" s="65"/>
      <c r="FK211" s="65"/>
      <c r="FL211" s="65"/>
      <c r="FM211" s="65"/>
      <c r="FN211" s="65"/>
      <c r="FO211" s="65"/>
      <c r="FP211" s="65"/>
      <c r="FQ211" s="65"/>
      <c r="FR211" s="65"/>
      <c r="FS211" s="65"/>
      <c r="FT211" s="65"/>
      <c r="FU211" s="65"/>
    </row>
    <row r="212" spans="10:177" s="1" customFormat="1"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/>
      <c r="AN212" s="65"/>
      <c r="AO212" s="65"/>
      <c r="AP212" s="65"/>
      <c r="AQ212" s="65"/>
      <c r="AR212" s="65"/>
      <c r="AS212" s="65"/>
      <c r="AT212" s="65"/>
      <c r="AU212" s="65"/>
      <c r="AV212" s="65"/>
      <c r="AW212" s="65"/>
      <c r="AX212" s="65"/>
      <c r="AY212" s="65"/>
      <c r="AZ212" s="65"/>
      <c r="BA212" s="65"/>
      <c r="BB212" s="65"/>
      <c r="BC212" s="65"/>
      <c r="BD212" s="65"/>
      <c r="BE212" s="65"/>
      <c r="BF212" s="65"/>
      <c r="BG212" s="65"/>
      <c r="BH212" s="65"/>
      <c r="BI212" s="65"/>
      <c r="BJ212" s="65"/>
      <c r="BK212" s="65"/>
      <c r="BL212" s="65"/>
      <c r="BM212" s="65"/>
      <c r="BN212" s="65"/>
      <c r="BO212" s="65"/>
      <c r="BP212" s="65"/>
      <c r="BQ212" s="65"/>
      <c r="BR212" s="65"/>
      <c r="BS212" s="65"/>
      <c r="BT212" s="65"/>
      <c r="BU212" s="65"/>
      <c r="BV212" s="65"/>
      <c r="BW212" s="65"/>
      <c r="BX212" s="65"/>
      <c r="BY212" s="65"/>
      <c r="BZ212" s="65"/>
      <c r="CA212" s="65"/>
      <c r="CB212" s="65"/>
      <c r="CC212" s="65"/>
      <c r="CD212" s="65"/>
      <c r="CE212" s="65"/>
      <c r="CF212" s="65"/>
      <c r="CG212" s="65"/>
      <c r="CH212" s="65"/>
      <c r="CI212" s="65"/>
      <c r="CJ212" s="65"/>
      <c r="CK212" s="65"/>
      <c r="CL212" s="65"/>
      <c r="CM212" s="65"/>
      <c r="CN212" s="65"/>
      <c r="CO212" s="65"/>
      <c r="CP212" s="65"/>
      <c r="CQ212" s="65"/>
      <c r="CR212" s="65"/>
      <c r="CS212" s="65"/>
      <c r="CT212" s="65"/>
      <c r="CU212" s="65"/>
      <c r="CV212" s="65"/>
      <c r="CW212" s="65"/>
      <c r="CX212" s="65"/>
      <c r="CY212" s="65"/>
      <c r="CZ212" s="65"/>
      <c r="DA212" s="65"/>
      <c r="DB212" s="65"/>
      <c r="DC212" s="65"/>
      <c r="DD212" s="65"/>
      <c r="DE212" s="65"/>
      <c r="DF212" s="65"/>
      <c r="DG212" s="65"/>
      <c r="DH212" s="65"/>
      <c r="DI212" s="65"/>
      <c r="DJ212" s="65"/>
      <c r="DK212" s="65"/>
      <c r="DL212" s="65"/>
      <c r="DM212" s="65"/>
      <c r="DN212" s="65"/>
      <c r="DO212" s="65"/>
      <c r="DP212" s="65"/>
      <c r="DQ212" s="65"/>
      <c r="DR212" s="65"/>
      <c r="DS212" s="65"/>
      <c r="DT212" s="65"/>
      <c r="DU212" s="65"/>
      <c r="DV212" s="65"/>
      <c r="DW212" s="65"/>
      <c r="DX212" s="65"/>
      <c r="DY212" s="65"/>
      <c r="DZ212" s="65"/>
      <c r="EA212" s="65"/>
      <c r="EB212" s="65"/>
      <c r="EC212" s="65"/>
      <c r="ED212" s="65"/>
      <c r="EE212" s="65"/>
      <c r="EF212" s="65"/>
      <c r="EG212" s="65"/>
      <c r="EH212" s="65"/>
      <c r="EI212" s="65"/>
      <c r="EJ212" s="65"/>
      <c r="EK212" s="65"/>
      <c r="EL212" s="65"/>
      <c r="EM212" s="65"/>
      <c r="EN212" s="65"/>
      <c r="EO212" s="65"/>
      <c r="EP212" s="65"/>
      <c r="EQ212" s="65"/>
      <c r="ER212" s="65"/>
      <c r="ES212" s="65"/>
      <c r="ET212" s="65"/>
      <c r="EU212" s="65"/>
      <c r="EV212" s="65"/>
      <c r="EW212" s="65"/>
      <c r="EX212" s="65"/>
      <c r="EY212" s="65"/>
      <c r="EZ212" s="65"/>
      <c r="FA212" s="65"/>
      <c r="FB212" s="65"/>
      <c r="FC212" s="65"/>
      <c r="FD212" s="65"/>
      <c r="FE212" s="65"/>
      <c r="FF212" s="65"/>
      <c r="FG212" s="65"/>
      <c r="FH212" s="65"/>
      <c r="FI212" s="65"/>
      <c r="FJ212" s="65"/>
      <c r="FK212" s="65"/>
      <c r="FL212" s="65"/>
      <c r="FM212" s="65"/>
      <c r="FN212" s="65"/>
      <c r="FO212" s="65"/>
      <c r="FP212" s="65"/>
      <c r="FQ212" s="65"/>
      <c r="FR212" s="65"/>
      <c r="FS212" s="65"/>
      <c r="FT212" s="65"/>
      <c r="FU212" s="65"/>
    </row>
    <row r="213" spans="10:177" s="1" customFormat="1"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AO213" s="65"/>
      <c r="AP213" s="65"/>
      <c r="AQ213" s="65"/>
      <c r="AR213" s="65"/>
      <c r="AS213" s="65"/>
      <c r="AT213" s="65"/>
      <c r="AU213" s="65"/>
      <c r="AV213" s="65"/>
      <c r="AW213" s="65"/>
      <c r="AX213" s="65"/>
      <c r="AY213" s="65"/>
      <c r="AZ213" s="65"/>
      <c r="BA213" s="65"/>
      <c r="BB213" s="65"/>
      <c r="BC213" s="65"/>
      <c r="BD213" s="65"/>
      <c r="BE213" s="65"/>
      <c r="BF213" s="65"/>
      <c r="BG213" s="65"/>
      <c r="BH213" s="65"/>
      <c r="BI213" s="65"/>
      <c r="BJ213" s="65"/>
      <c r="BK213" s="65"/>
      <c r="BL213" s="65"/>
      <c r="BM213" s="65"/>
      <c r="BN213" s="65"/>
      <c r="BO213" s="65"/>
      <c r="BP213" s="65"/>
      <c r="BQ213" s="65"/>
      <c r="BR213" s="65"/>
      <c r="BS213" s="65"/>
      <c r="BT213" s="65"/>
      <c r="BU213" s="65"/>
      <c r="BV213" s="65"/>
      <c r="BW213" s="65"/>
      <c r="BX213" s="65"/>
      <c r="BY213" s="65"/>
      <c r="BZ213" s="65"/>
      <c r="CA213" s="65"/>
      <c r="CB213" s="65"/>
      <c r="CC213" s="65"/>
      <c r="CD213" s="65"/>
      <c r="CE213" s="65"/>
      <c r="CF213" s="65"/>
      <c r="CG213" s="65"/>
      <c r="CH213" s="65"/>
      <c r="CI213" s="65"/>
      <c r="CJ213" s="65"/>
      <c r="CK213" s="65"/>
      <c r="CL213" s="65"/>
      <c r="CM213" s="65"/>
      <c r="CN213" s="65"/>
      <c r="CO213" s="65"/>
      <c r="CP213" s="65"/>
      <c r="CQ213" s="65"/>
      <c r="CR213" s="65"/>
      <c r="CS213" s="65"/>
      <c r="CT213" s="65"/>
      <c r="CU213" s="65"/>
      <c r="CV213" s="65"/>
      <c r="CW213" s="65"/>
      <c r="CX213" s="65"/>
      <c r="CY213" s="65"/>
      <c r="CZ213" s="65"/>
      <c r="DA213" s="65"/>
      <c r="DB213" s="65"/>
      <c r="DC213" s="65"/>
      <c r="DD213" s="65"/>
      <c r="DE213" s="65"/>
      <c r="DF213" s="65"/>
      <c r="DG213" s="65"/>
      <c r="DH213" s="65"/>
      <c r="DI213" s="65"/>
      <c r="DJ213" s="65"/>
      <c r="DK213" s="65"/>
      <c r="DL213" s="65"/>
      <c r="DM213" s="65"/>
      <c r="DN213" s="65"/>
      <c r="DO213" s="65"/>
      <c r="DP213" s="65"/>
      <c r="DQ213" s="65"/>
      <c r="DR213" s="65"/>
      <c r="DS213" s="65"/>
      <c r="DT213" s="65"/>
      <c r="DU213" s="65"/>
      <c r="DV213" s="65"/>
      <c r="DW213" s="65"/>
      <c r="DX213" s="65"/>
      <c r="DY213" s="65"/>
      <c r="DZ213" s="65"/>
      <c r="EA213" s="65"/>
      <c r="EB213" s="65"/>
      <c r="EC213" s="65"/>
      <c r="ED213" s="65"/>
      <c r="EE213" s="65"/>
      <c r="EF213" s="65"/>
      <c r="EG213" s="65"/>
      <c r="EH213" s="65"/>
      <c r="EI213" s="65"/>
      <c r="EJ213" s="65"/>
      <c r="EK213" s="65"/>
      <c r="EL213" s="65"/>
      <c r="EM213" s="65"/>
      <c r="EN213" s="65"/>
      <c r="EO213" s="65"/>
      <c r="EP213" s="65"/>
      <c r="EQ213" s="65"/>
      <c r="ER213" s="65"/>
      <c r="ES213" s="65"/>
      <c r="ET213" s="65"/>
      <c r="EU213" s="65"/>
      <c r="EV213" s="65"/>
      <c r="EW213" s="65"/>
      <c r="EX213" s="65"/>
      <c r="EY213" s="65"/>
      <c r="EZ213" s="65"/>
      <c r="FA213" s="65"/>
      <c r="FB213" s="65"/>
      <c r="FC213" s="65"/>
      <c r="FD213" s="65"/>
      <c r="FE213" s="65"/>
      <c r="FF213" s="65"/>
      <c r="FG213" s="65"/>
      <c r="FH213" s="65"/>
      <c r="FI213" s="65"/>
      <c r="FJ213" s="65"/>
      <c r="FK213" s="65"/>
      <c r="FL213" s="65"/>
      <c r="FM213" s="65"/>
      <c r="FN213" s="65"/>
      <c r="FO213" s="65"/>
      <c r="FP213" s="65"/>
      <c r="FQ213" s="65"/>
      <c r="FR213" s="65"/>
      <c r="FS213" s="65"/>
      <c r="FT213" s="65"/>
      <c r="FU213" s="65"/>
    </row>
    <row r="214" spans="10:177" s="1" customFormat="1"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  <c r="AM214" s="65"/>
      <c r="AN214" s="65"/>
      <c r="AO214" s="65"/>
      <c r="AP214" s="65"/>
      <c r="AQ214" s="65"/>
      <c r="AR214" s="65"/>
      <c r="AS214" s="65"/>
      <c r="AT214" s="65"/>
      <c r="AU214" s="65"/>
      <c r="AV214" s="65"/>
      <c r="AW214" s="65"/>
      <c r="AX214" s="65"/>
      <c r="AY214" s="65"/>
      <c r="AZ214" s="65"/>
      <c r="BA214" s="65"/>
      <c r="BB214" s="65"/>
      <c r="BC214" s="65"/>
      <c r="BD214" s="65"/>
      <c r="BE214" s="65"/>
      <c r="BF214" s="65"/>
      <c r="BG214" s="65"/>
      <c r="BH214" s="65"/>
      <c r="BI214" s="65"/>
      <c r="BJ214" s="65"/>
      <c r="BK214" s="65"/>
      <c r="BL214" s="65"/>
      <c r="BM214" s="65"/>
      <c r="BN214" s="65"/>
      <c r="BO214" s="65"/>
      <c r="BP214" s="65"/>
      <c r="BQ214" s="65"/>
      <c r="BR214" s="65"/>
      <c r="BS214" s="65"/>
      <c r="BT214" s="65"/>
      <c r="BU214" s="65"/>
      <c r="BV214" s="65"/>
      <c r="BW214" s="65"/>
      <c r="BX214" s="65"/>
      <c r="BY214" s="65"/>
      <c r="BZ214" s="65"/>
      <c r="CA214" s="65"/>
      <c r="CB214" s="65"/>
      <c r="CC214" s="65"/>
      <c r="CD214" s="65"/>
      <c r="CE214" s="65"/>
      <c r="CF214" s="65"/>
      <c r="CG214" s="65"/>
      <c r="CH214" s="65"/>
      <c r="CI214" s="65"/>
      <c r="CJ214" s="65"/>
      <c r="CK214" s="65"/>
      <c r="CL214" s="65"/>
      <c r="CM214" s="65"/>
      <c r="CN214" s="65"/>
      <c r="CO214" s="65"/>
      <c r="CP214" s="65"/>
      <c r="CQ214" s="65"/>
      <c r="CR214" s="65"/>
      <c r="CS214" s="65"/>
      <c r="CT214" s="65"/>
      <c r="CU214" s="65"/>
      <c r="CV214" s="65"/>
      <c r="CW214" s="65"/>
      <c r="CX214" s="65"/>
      <c r="CY214" s="65"/>
      <c r="CZ214" s="65"/>
      <c r="DA214" s="65"/>
      <c r="DB214" s="65"/>
      <c r="DC214" s="65"/>
      <c r="DD214" s="65"/>
      <c r="DE214" s="65"/>
      <c r="DF214" s="65"/>
      <c r="DG214" s="65"/>
      <c r="DH214" s="65"/>
      <c r="DI214" s="65"/>
      <c r="DJ214" s="65"/>
      <c r="DK214" s="65"/>
      <c r="DL214" s="65"/>
      <c r="DM214" s="65"/>
      <c r="DN214" s="65"/>
      <c r="DO214" s="65"/>
      <c r="DP214" s="65"/>
      <c r="DQ214" s="65"/>
      <c r="DR214" s="65"/>
      <c r="DS214" s="65"/>
      <c r="DT214" s="65"/>
      <c r="DU214" s="65"/>
      <c r="DV214" s="65"/>
      <c r="DW214" s="65"/>
      <c r="DX214" s="65"/>
      <c r="DY214" s="65"/>
      <c r="DZ214" s="65"/>
      <c r="EA214" s="65"/>
      <c r="EB214" s="65"/>
      <c r="EC214" s="65"/>
      <c r="ED214" s="65"/>
      <c r="EE214" s="65"/>
      <c r="EF214" s="65"/>
      <c r="EG214" s="65"/>
      <c r="EH214" s="65"/>
      <c r="EI214" s="65"/>
      <c r="EJ214" s="65"/>
      <c r="EK214" s="65"/>
      <c r="EL214" s="65"/>
      <c r="EM214" s="65"/>
      <c r="EN214" s="65"/>
      <c r="EO214" s="65"/>
      <c r="EP214" s="65"/>
      <c r="EQ214" s="65"/>
      <c r="ER214" s="65"/>
      <c r="ES214" s="65"/>
      <c r="ET214" s="65"/>
      <c r="EU214" s="65"/>
      <c r="EV214" s="65"/>
      <c r="EW214" s="65"/>
      <c r="EX214" s="65"/>
      <c r="EY214" s="65"/>
      <c r="EZ214" s="65"/>
      <c r="FA214" s="65"/>
      <c r="FB214" s="65"/>
      <c r="FC214" s="65"/>
      <c r="FD214" s="65"/>
      <c r="FE214" s="65"/>
      <c r="FF214" s="65"/>
      <c r="FG214" s="65"/>
      <c r="FH214" s="65"/>
      <c r="FI214" s="65"/>
      <c r="FJ214" s="65"/>
      <c r="FK214" s="65"/>
      <c r="FL214" s="65"/>
      <c r="FM214" s="65"/>
      <c r="FN214" s="65"/>
      <c r="FO214" s="65"/>
      <c r="FP214" s="65"/>
      <c r="FQ214" s="65"/>
      <c r="FR214" s="65"/>
      <c r="FS214" s="65"/>
      <c r="FT214" s="65"/>
      <c r="FU214" s="65"/>
    </row>
    <row r="215" spans="10:177" s="1" customFormat="1"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  <c r="Z215" s="65"/>
      <c r="AA215" s="65"/>
      <c r="AB215" s="65"/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  <c r="AO215" s="65"/>
      <c r="AP215" s="65"/>
      <c r="AQ215" s="65"/>
      <c r="AR215" s="65"/>
      <c r="AS215" s="65"/>
      <c r="AT215" s="65"/>
      <c r="AU215" s="65"/>
      <c r="AV215" s="65"/>
      <c r="AW215" s="65"/>
      <c r="AX215" s="65"/>
      <c r="AY215" s="65"/>
      <c r="AZ215" s="65"/>
      <c r="BA215" s="65"/>
      <c r="BB215" s="65"/>
      <c r="BC215" s="65"/>
      <c r="BD215" s="65"/>
      <c r="BE215" s="65"/>
      <c r="BF215" s="65"/>
      <c r="BG215" s="65"/>
      <c r="BH215" s="65"/>
      <c r="BI215" s="65"/>
      <c r="BJ215" s="65"/>
      <c r="BK215" s="65"/>
      <c r="BL215" s="65"/>
      <c r="BM215" s="65"/>
      <c r="BN215" s="65"/>
      <c r="BO215" s="65"/>
      <c r="BP215" s="65"/>
      <c r="BQ215" s="65"/>
      <c r="BR215" s="65"/>
      <c r="BS215" s="65"/>
      <c r="BT215" s="65"/>
      <c r="BU215" s="65"/>
      <c r="BV215" s="65"/>
      <c r="BW215" s="65"/>
      <c r="BX215" s="65"/>
      <c r="BY215" s="65"/>
      <c r="BZ215" s="65"/>
      <c r="CA215" s="65"/>
      <c r="CB215" s="65"/>
      <c r="CC215" s="65"/>
      <c r="CD215" s="65"/>
      <c r="CE215" s="65"/>
      <c r="CF215" s="65"/>
      <c r="CG215" s="65"/>
      <c r="CH215" s="65"/>
      <c r="CI215" s="65"/>
      <c r="CJ215" s="65"/>
      <c r="CK215" s="65"/>
      <c r="CL215" s="65"/>
      <c r="CM215" s="65"/>
      <c r="CN215" s="65"/>
      <c r="CO215" s="65"/>
      <c r="CP215" s="65"/>
      <c r="CQ215" s="65"/>
      <c r="CR215" s="65"/>
      <c r="CS215" s="65"/>
      <c r="CT215" s="65"/>
      <c r="CU215" s="65"/>
      <c r="CV215" s="65"/>
      <c r="CW215" s="65"/>
      <c r="CX215" s="65"/>
      <c r="CY215" s="65"/>
      <c r="CZ215" s="65"/>
      <c r="DA215" s="65"/>
      <c r="DB215" s="65"/>
      <c r="DC215" s="65"/>
      <c r="DD215" s="65"/>
      <c r="DE215" s="65"/>
      <c r="DF215" s="65"/>
      <c r="DG215" s="65"/>
      <c r="DH215" s="65"/>
      <c r="DI215" s="65"/>
      <c r="DJ215" s="65"/>
      <c r="DK215" s="65"/>
      <c r="DL215" s="65"/>
      <c r="DM215" s="65"/>
      <c r="DN215" s="65"/>
      <c r="DO215" s="65"/>
      <c r="DP215" s="65"/>
      <c r="DQ215" s="65"/>
      <c r="DR215" s="65"/>
      <c r="DS215" s="65"/>
      <c r="DT215" s="65"/>
      <c r="DU215" s="65"/>
      <c r="DV215" s="65"/>
      <c r="DW215" s="65"/>
      <c r="DX215" s="65"/>
      <c r="DY215" s="65"/>
      <c r="DZ215" s="65"/>
      <c r="EA215" s="65"/>
      <c r="EB215" s="65"/>
      <c r="EC215" s="65"/>
      <c r="ED215" s="65"/>
      <c r="EE215" s="65"/>
      <c r="EF215" s="65"/>
      <c r="EG215" s="65"/>
      <c r="EH215" s="65"/>
      <c r="EI215" s="65"/>
      <c r="EJ215" s="65"/>
      <c r="EK215" s="65"/>
      <c r="EL215" s="65"/>
      <c r="EM215" s="65"/>
      <c r="EN215" s="65"/>
      <c r="EO215" s="65"/>
      <c r="EP215" s="65"/>
      <c r="EQ215" s="65"/>
      <c r="ER215" s="65"/>
      <c r="ES215" s="65"/>
      <c r="ET215" s="65"/>
      <c r="EU215" s="65"/>
      <c r="EV215" s="65"/>
      <c r="EW215" s="65"/>
      <c r="EX215" s="65"/>
      <c r="EY215" s="65"/>
      <c r="EZ215" s="65"/>
      <c r="FA215" s="65"/>
      <c r="FB215" s="65"/>
      <c r="FC215" s="65"/>
      <c r="FD215" s="65"/>
      <c r="FE215" s="65"/>
      <c r="FF215" s="65"/>
      <c r="FG215" s="65"/>
      <c r="FH215" s="65"/>
      <c r="FI215" s="65"/>
      <c r="FJ215" s="65"/>
      <c r="FK215" s="65"/>
      <c r="FL215" s="65"/>
      <c r="FM215" s="65"/>
      <c r="FN215" s="65"/>
      <c r="FO215" s="65"/>
      <c r="FP215" s="65"/>
      <c r="FQ215" s="65"/>
      <c r="FR215" s="65"/>
      <c r="FS215" s="65"/>
      <c r="FT215" s="65"/>
      <c r="FU215" s="65"/>
    </row>
    <row r="216" spans="10:177" s="1" customFormat="1"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  <c r="AJ216" s="65"/>
      <c r="AK216" s="65"/>
      <c r="AL216" s="65"/>
      <c r="AM216" s="65"/>
      <c r="AN216" s="65"/>
      <c r="AO216" s="65"/>
      <c r="AP216" s="65"/>
      <c r="AQ216" s="65"/>
      <c r="AR216" s="65"/>
      <c r="AS216" s="65"/>
      <c r="AT216" s="65"/>
      <c r="AU216" s="65"/>
      <c r="AV216" s="65"/>
      <c r="AW216" s="65"/>
      <c r="AX216" s="65"/>
      <c r="AY216" s="65"/>
      <c r="AZ216" s="65"/>
      <c r="BA216" s="65"/>
      <c r="BB216" s="65"/>
      <c r="BC216" s="65"/>
      <c r="BD216" s="65"/>
      <c r="BE216" s="65"/>
      <c r="BF216" s="65"/>
      <c r="BG216" s="65"/>
      <c r="BH216" s="65"/>
      <c r="BI216" s="65"/>
      <c r="BJ216" s="65"/>
      <c r="BK216" s="65"/>
      <c r="BL216" s="65"/>
      <c r="BM216" s="65"/>
      <c r="BN216" s="65"/>
      <c r="BO216" s="65"/>
      <c r="BP216" s="65"/>
      <c r="BQ216" s="65"/>
      <c r="BR216" s="65"/>
      <c r="BS216" s="65"/>
      <c r="BT216" s="65"/>
      <c r="BU216" s="65"/>
      <c r="BV216" s="65"/>
      <c r="BW216" s="65"/>
      <c r="BX216" s="65"/>
      <c r="BY216" s="65"/>
      <c r="BZ216" s="65"/>
      <c r="CA216" s="65"/>
      <c r="CB216" s="65"/>
      <c r="CC216" s="65"/>
      <c r="CD216" s="65"/>
      <c r="CE216" s="65"/>
      <c r="CF216" s="65"/>
      <c r="CG216" s="65"/>
      <c r="CH216" s="65"/>
      <c r="CI216" s="65"/>
      <c r="CJ216" s="65"/>
      <c r="CK216" s="65"/>
      <c r="CL216" s="65"/>
      <c r="CM216" s="65"/>
      <c r="CN216" s="65"/>
      <c r="CO216" s="65"/>
      <c r="CP216" s="65"/>
      <c r="CQ216" s="65"/>
      <c r="CR216" s="65"/>
      <c r="CS216" s="65"/>
      <c r="CT216" s="65"/>
      <c r="CU216" s="65"/>
      <c r="CV216" s="65"/>
      <c r="CW216" s="65"/>
      <c r="CX216" s="65"/>
      <c r="CY216" s="65"/>
      <c r="CZ216" s="65"/>
      <c r="DA216" s="65"/>
      <c r="DB216" s="65"/>
      <c r="DC216" s="65"/>
      <c r="DD216" s="65"/>
      <c r="DE216" s="65"/>
      <c r="DF216" s="65"/>
      <c r="DG216" s="65"/>
      <c r="DH216" s="65"/>
      <c r="DI216" s="65"/>
      <c r="DJ216" s="65"/>
      <c r="DK216" s="65"/>
      <c r="DL216" s="65"/>
      <c r="DM216" s="65"/>
      <c r="DN216" s="65"/>
      <c r="DO216" s="65"/>
      <c r="DP216" s="65"/>
      <c r="DQ216" s="65"/>
      <c r="DR216" s="65"/>
      <c r="DS216" s="65"/>
      <c r="DT216" s="65"/>
      <c r="DU216" s="65"/>
      <c r="DV216" s="65"/>
      <c r="DW216" s="65"/>
      <c r="DX216" s="65"/>
      <c r="DY216" s="65"/>
      <c r="DZ216" s="65"/>
      <c r="EA216" s="65"/>
      <c r="EB216" s="65"/>
      <c r="EC216" s="65"/>
      <c r="ED216" s="65"/>
      <c r="EE216" s="65"/>
      <c r="EF216" s="65"/>
      <c r="EG216" s="65"/>
      <c r="EH216" s="65"/>
      <c r="EI216" s="65"/>
      <c r="EJ216" s="65"/>
      <c r="EK216" s="65"/>
      <c r="EL216" s="65"/>
      <c r="EM216" s="65"/>
      <c r="EN216" s="65"/>
      <c r="EO216" s="65"/>
      <c r="EP216" s="65"/>
      <c r="EQ216" s="65"/>
      <c r="ER216" s="65"/>
      <c r="ES216" s="65"/>
      <c r="ET216" s="65"/>
      <c r="EU216" s="65"/>
      <c r="EV216" s="65"/>
      <c r="EW216" s="65"/>
      <c r="EX216" s="65"/>
      <c r="EY216" s="65"/>
      <c r="EZ216" s="65"/>
      <c r="FA216" s="65"/>
      <c r="FB216" s="65"/>
      <c r="FC216" s="65"/>
      <c r="FD216" s="65"/>
      <c r="FE216" s="65"/>
      <c r="FF216" s="65"/>
      <c r="FG216" s="65"/>
      <c r="FH216" s="65"/>
      <c r="FI216" s="65"/>
      <c r="FJ216" s="65"/>
      <c r="FK216" s="65"/>
      <c r="FL216" s="65"/>
      <c r="FM216" s="65"/>
      <c r="FN216" s="65"/>
      <c r="FO216" s="65"/>
      <c r="FP216" s="65"/>
      <c r="FQ216" s="65"/>
      <c r="FR216" s="65"/>
      <c r="FS216" s="65"/>
      <c r="FT216" s="65"/>
      <c r="FU216" s="65"/>
    </row>
    <row r="217" spans="10:177" s="1" customFormat="1"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  <c r="AM217" s="65"/>
      <c r="AN217" s="65"/>
      <c r="AO217" s="65"/>
      <c r="AP217" s="65"/>
      <c r="AQ217" s="65"/>
      <c r="AR217" s="65"/>
      <c r="AS217" s="65"/>
      <c r="AT217" s="65"/>
      <c r="AU217" s="65"/>
      <c r="AV217" s="65"/>
      <c r="AW217" s="65"/>
      <c r="AX217" s="65"/>
      <c r="AY217" s="65"/>
      <c r="AZ217" s="65"/>
      <c r="BA217" s="65"/>
      <c r="BB217" s="65"/>
      <c r="BC217" s="65"/>
      <c r="BD217" s="65"/>
      <c r="BE217" s="65"/>
      <c r="BF217" s="65"/>
      <c r="BG217" s="65"/>
      <c r="BH217" s="65"/>
      <c r="BI217" s="65"/>
      <c r="BJ217" s="65"/>
      <c r="BK217" s="65"/>
      <c r="BL217" s="65"/>
      <c r="BM217" s="65"/>
      <c r="BN217" s="65"/>
      <c r="BO217" s="65"/>
      <c r="BP217" s="65"/>
      <c r="BQ217" s="65"/>
      <c r="BR217" s="65"/>
      <c r="BS217" s="65"/>
      <c r="BT217" s="65"/>
      <c r="BU217" s="65"/>
      <c r="BV217" s="65"/>
      <c r="BW217" s="65"/>
      <c r="BX217" s="65"/>
      <c r="BY217" s="65"/>
      <c r="BZ217" s="65"/>
      <c r="CA217" s="65"/>
      <c r="CB217" s="65"/>
      <c r="CC217" s="65"/>
      <c r="CD217" s="65"/>
      <c r="CE217" s="65"/>
      <c r="CF217" s="65"/>
      <c r="CG217" s="65"/>
      <c r="CH217" s="65"/>
      <c r="CI217" s="65"/>
      <c r="CJ217" s="65"/>
      <c r="CK217" s="65"/>
      <c r="CL217" s="65"/>
      <c r="CM217" s="65"/>
      <c r="CN217" s="65"/>
      <c r="CO217" s="65"/>
      <c r="CP217" s="65"/>
      <c r="CQ217" s="65"/>
      <c r="CR217" s="65"/>
      <c r="CS217" s="65"/>
      <c r="CT217" s="65"/>
      <c r="CU217" s="65"/>
      <c r="CV217" s="65"/>
      <c r="CW217" s="65"/>
      <c r="CX217" s="65"/>
      <c r="CY217" s="65"/>
      <c r="CZ217" s="65"/>
      <c r="DA217" s="65"/>
      <c r="DB217" s="65"/>
      <c r="DC217" s="65"/>
      <c r="DD217" s="65"/>
      <c r="DE217" s="65"/>
      <c r="DF217" s="65"/>
      <c r="DG217" s="65"/>
      <c r="DH217" s="65"/>
      <c r="DI217" s="65"/>
      <c r="DJ217" s="65"/>
      <c r="DK217" s="65"/>
      <c r="DL217" s="65"/>
      <c r="DM217" s="65"/>
      <c r="DN217" s="65"/>
      <c r="DO217" s="65"/>
      <c r="DP217" s="65"/>
      <c r="DQ217" s="65"/>
      <c r="DR217" s="65"/>
      <c r="DS217" s="65"/>
      <c r="DT217" s="65"/>
      <c r="DU217" s="65"/>
      <c r="DV217" s="65"/>
      <c r="DW217" s="65"/>
      <c r="DX217" s="65"/>
      <c r="DY217" s="65"/>
      <c r="DZ217" s="65"/>
      <c r="EA217" s="65"/>
      <c r="EB217" s="65"/>
      <c r="EC217" s="65"/>
      <c r="ED217" s="65"/>
      <c r="EE217" s="65"/>
      <c r="EF217" s="65"/>
      <c r="EG217" s="65"/>
      <c r="EH217" s="65"/>
      <c r="EI217" s="65"/>
      <c r="EJ217" s="65"/>
      <c r="EK217" s="65"/>
      <c r="EL217" s="65"/>
      <c r="EM217" s="65"/>
      <c r="EN217" s="65"/>
      <c r="EO217" s="65"/>
      <c r="EP217" s="65"/>
      <c r="EQ217" s="65"/>
      <c r="ER217" s="65"/>
      <c r="ES217" s="65"/>
      <c r="ET217" s="65"/>
      <c r="EU217" s="65"/>
      <c r="EV217" s="65"/>
      <c r="EW217" s="65"/>
      <c r="EX217" s="65"/>
      <c r="EY217" s="65"/>
      <c r="EZ217" s="65"/>
      <c r="FA217" s="65"/>
      <c r="FB217" s="65"/>
      <c r="FC217" s="65"/>
      <c r="FD217" s="65"/>
      <c r="FE217" s="65"/>
      <c r="FF217" s="65"/>
      <c r="FG217" s="65"/>
      <c r="FH217" s="65"/>
      <c r="FI217" s="65"/>
      <c r="FJ217" s="65"/>
      <c r="FK217" s="65"/>
      <c r="FL217" s="65"/>
      <c r="FM217" s="65"/>
      <c r="FN217" s="65"/>
      <c r="FO217" s="65"/>
      <c r="FP217" s="65"/>
      <c r="FQ217" s="65"/>
      <c r="FR217" s="65"/>
      <c r="FS217" s="65"/>
      <c r="FT217" s="65"/>
      <c r="FU217" s="65"/>
    </row>
    <row r="218" spans="10:177" s="1" customFormat="1"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  <c r="AJ218" s="65"/>
      <c r="AK218" s="65"/>
      <c r="AL218" s="65"/>
      <c r="AM218" s="65"/>
      <c r="AN218" s="65"/>
      <c r="AO218" s="65"/>
      <c r="AP218" s="65"/>
      <c r="AQ218" s="65"/>
      <c r="AR218" s="65"/>
      <c r="AS218" s="65"/>
      <c r="AT218" s="65"/>
      <c r="AU218" s="65"/>
      <c r="AV218" s="65"/>
      <c r="AW218" s="65"/>
      <c r="AX218" s="65"/>
      <c r="AY218" s="65"/>
      <c r="AZ218" s="65"/>
      <c r="BA218" s="65"/>
      <c r="BB218" s="65"/>
      <c r="BC218" s="65"/>
      <c r="BD218" s="65"/>
      <c r="BE218" s="65"/>
      <c r="BF218" s="65"/>
      <c r="BG218" s="65"/>
      <c r="BH218" s="65"/>
      <c r="BI218" s="65"/>
      <c r="BJ218" s="65"/>
      <c r="BK218" s="65"/>
      <c r="BL218" s="65"/>
      <c r="BM218" s="65"/>
      <c r="BN218" s="65"/>
      <c r="BO218" s="65"/>
      <c r="BP218" s="65"/>
      <c r="BQ218" s="65"/>
      <c r="BR218" s="65"/>
      <c r="BS218" s="65"/>
      <c r="BT218" s="65"/>
      <c r="BU218" s="65"/>
      <c r="BV218" s="65"/>
      <c r="BW218" s="65"/>
      <c r="BX218" s="65"/>
      <c r="BY218" s="65"/>
      <c r="BZ218" s="65"/>
      <c r="CA218" s="65"/>
      <c r="CB218" s="65"/>
      <c r="CC218" s="65"/>
      <c r="CD218" s="65"/>
      <c r="CE218" s="65"/>
      <c r="CF218" s="65"/>
      <c r="CG218" s="65"/>
      <c r="CH218" s="65"/>
      <c r="CI218" s="65"/>
      <c r="CJ218" s="65"/>
      <c r="CK218" s="65"/>
      <c r="CL218" s="65"/>
      <c r="CM218" s="65"/>
      <c r="CN218" s="65"/>
      <c r="CO218" s="65"/>
      <c r="CP218" s="65"/>
      <c r="CQ218" s="65"/>
      <c r="CR218" s="65"/>
      <c r="CS218" s="65"/>
      <c r="CT218" s="65"/>
      <c r="CU218" s="65"/>
      <c r="CV218" s="65"/>
      <c r="CW218" s="65"/>
      <c r="CX218" s="65"/>
      <c r="CY218" s="65"/>
      <c r="CZ218" s="65"/>
      <c r="DA218" s="65"/>
      <c r="DB218" s="65"/>
      <c r="DC218" s="65"/>
      <c r="DD218" s="65"/>
      <c r="DE218" s="65"/>
      <c r="DF218" s="65"/>
      <c r="DG218" s="65"/>
      <c r="DH218" s="65"/>
      <c r="DI218" s="65"/>
      <c r="DJ218" s="65"/>
      <c r="DK218" s="65"/>
      <c r="DL218" s="65"/>
      <c r="DM218" s="65"/>
      <c r="DN218" s="65"/>
      <c r="DO218" s="65"/>
      <c r="DP218" s="65"/>
      <c r="DQ218" s="65"/>
      <c r="DR218" s="65"/>
      <c r="DS218" s="65"/>
      <c r="DT218" s="65"/>
      <c r="DU218" s="65"/>
      <c r="DV218" s="65"/>
      <c r="DW218" s="65"/>
      <c r="DX218" s="65"/>
      <c r="DY218" s="65"/>
      <c r="DZ218" s="65"/>
      <c r="EA218" s="65"/>
      <c r="EB218" s="65"/>
      <c r="EC218" s="65"/>
      <c r="ED218" s="65"/>
      <c r="EE218" s="65"/>
      <c r="EF218" s="65"/>
      <c r="EG218" s="65"/>
      <c r="EH218" s="65"/>
      <c r="EI218" s="65"/>
      <c r="EJ218" s="65"/>
      <c r="EK218" s="65"/>
      <c r="EL218" s="65"/>
      <c r="EM218" s="65"/>
      <c r="EN218" s="65"/>
      <c r="EO218" s="65"/>
      <c r="EP218" s="65"/>
      <c r="EQ218" s="65"/>
      <c r="ER218" s="65"/>
      <c r="ES218" s="65"/>
      <c r="ET218" s="65"/>
      <c r="EU218" s="65"/>
      <c r="EV218" s="65"/>
      <c r="EW218" s="65"/>
      <c r="EX218" s="65"/>
      <c r="EY218" s="65"/>
      <c r="EZ218" s="65"/>
      <c r="FA218" s="65"/>
      <c r="FB218" s="65"/>
      <c r="FC218" s="65"/>
      <c r="FD218" s="65"/>
      <c r="FE218" s="65"/>
      <c r="FF218" s="65"/>
      <c r="FG218" s="65"/>
      <c r="FH218" s="65"/>
      <c r="FI218" s="65"/>
      <c r="FJ218" s="65"/>
      <c r="FK218" s="65"/>
      <c r="FL218" s="65"/>
      <c r="FM218" s="65"/>
      <c r="FN218" s="65"/>
      <c r="FO218" s="65"/>
      <c r="FP218" s="65"/>
      <c r="FQ218" s="65"/>
      <c r="FR218" s="65"/>
      <c r="FS218" s="65"/>
      <c r="FT218" s="65"/>
      <c r="FU218" s="65"/>
    </row>
    <row r="219" spans="10:177" s="1" customFormat="1"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  <c r="AA219" s="65"/>
      <c r="AB219" s="65"/>
      <c r="AC219" s="65"/>
      <c r="AD219" s="65"/>
      <c r="AE219" s="65"/>
      <c r="AF219" s="65"/>
      <c r="AG219" s="65"/>
      <c r="AH219" s="65"/>
      <c r="AI219" s="65"/>
      <c r="AJ219" s="65"/>
      <c r="AK219" s="65"/>
      <c r="AL219" s="65"/>
      <c r="AM219" s="65"/>
      <c r="AN219" s="65"/>
      <c r="AO219" s="65"/>
      <c r="AP219" s="65"/>
      <c r="AQ219" s="65"/>
      <c r="AR219" s="65"/>
      <c r="AS219" s="65"/>
      <c r="AT219" s="65"/>
      <c r="AU219" s="65"/>
      <c r="AV219" s="65"/>
      <c r="AW219" s="65"/>
      <c r="AX219" s="65"/>
      <c r="AY219" s="65"/>
      <c r="AZ219" s="65"/>
      <c r="BA219" s="65"/>
      <c r="BB219" s="65"/>
      <c r="BC219" s="65"/>
      <c r="BD219" s="65"/>
      <c r="BE219" s="65"/>
      <c r="BF219" s="65"/>
      <c r="BG219" s="65"/>
      <c r="BH219" s="65"/>
      <c r="BI219" s="65"/>
      <c r="BJ219" s="65"/>
      <c r="BK219" s="65"/>
      <c r="BL219" s="65"/>
      <c r="BM219" s="65"/>
      <c r="BN219" s="65"/>
      <c r="BO219" s="65"/>
      <c r="BP219" s="65"/>
      <c r="BQ219" s="65"/>
      <c r="BR219" s="65"/>
      <c r="BS219" s="65"/>
      <c r="BT219" s="65"/>
      <c r="BU219" s="65"/>
      <c r="BV219" s="65"/>
      <c r="BW219" s="65"/>
      <c r="BX219" s="65"/>
      <c r="BY219" s="65"/>
      <c r="BZ219" s="65"/>
      <c r="CA219" s="65"/>
      <c r="CB219" s="65"/>
      <c r="CC219" s="65"/>
      <c r="CD219" s="65"/>
      <c r="CE219" s="65"/>
      <c r="CF219" s="65"/>
      <c r="CG219" s="65"/>
      <c r="CH219" s="65"/>
      <c r="CI219" s="65"/>
      <c r="CJ219" s="65"/>
      <c r="CK219" s="65"/>
      <c r="CL219" s="65"/>
      <c r="CM219" s="65"/>
      <c r="CN219" s="65"/>
      <c r="CO219" s="65"/>
      <c r="CP219" s="65"/>
      <c r="CQ219" s="65"/>
      <c r="CR219" s="65"/>
      <c r="CS219" s="65"/>
      <c r="CT219" s="65"/>
      <c r="CU219" s="65"/>
      <c r="CV219" s="65"/>
      <c r="CW219" s="65"/>
      <c r="CX219" s="65"/>
      <c r="CY219" s="65"/>
      <c r="CZ219" s="65"/>
      <c r="DA219" s="65"/>
      <c r="DB219" s="65"/>
      <c r="DC219" s="65"/>
      <c r="DD219" s="65"/>
      <c r="DE219" s="65"/>
      <c r="DF219" s="65"/>
      <c r="DG219" s="65"/>
      <c r="DH219" s="65"/>
      <c r="DI219" s="65"/>
      <c r="DJ219" s="65"/>
      <c r="DK219" s="65"/>
      <c r="DL219" s="65"/>
      <c r="DM219" s="65"/>
      <c r="DN219" s="65"/>
      <c r="DO219" s="65"/>
      <c r="DP219" s="65"/>
      <c r="DQ219" s="65"/>
      <c r="DR219" s="65"/>
      <c r="DS219" s="65"/>
      <c r="DT219" s="65"/>
      <c r="DU219" s="65"/>
      <c r="DV219" s="65"/>
      <c r="DW219" s="65"/>
      <c r="DX219" s="65"/>
      <c r="DY219" s="65"/>
      <c r="DZ219" s="65"/>
      <c r="EA219" s="65"/>
      <c r="EB219" s="65"/>
      <c r="EC219" s="65"/>
      <c r="ED219" s="65"/>
      <c r="EE219" s="65"/>
      <c r="EF219" s="65"/>
      <c r="EG219" s="65"/>
      <c r="EH219" s="65"/>
      <c r="EI219" s="65"/>
      <c r="EJ219" s="65"/>
      <c r="EK219" s="65"/>
      <c r="EL219" s="65"/>
      <c r="EM219" s="65"/>
      <c r="EN219" s="65"/>
      <c r="EO219" s="65"/>
      <c r="EP219" s="65"/>
      <c r="EQ219" s="65"/>
      <c r="ER219" s="65"/>
      <c r="ES219" s="65"/>
      <c r="ET219" s="65"/>
      <c r="EU219" s="65"/>
      <c r="EV219" s="65"/>
      <c r="EW219" s="65"/>
      <c r="EX219" s="65"/>
      <c r="EY219" s="65"/>
      <c r="EZ219" s="65"/>
      <c r="FA219" s="65"/>
      <c r="FB219" s="65"/>
      <c r="FC219" s="65"/>
      <c r="FD219" s="65"/>
      <c r="FE219" s="65"/>
      <c r="FF219" s="65"/>
      <c r="FG219" s="65"/>
      <c r="FH219" s="65"/>
      <c r="FI219" s="65"/>
      <c r="FJ219" s="65"/>
      <c r="FK219" s="65"/>
      <c r="FL219" s="65"/>
      <c r="FM219" s="65"/>
      <c r="FN219" s="65"/>
      <c r="FO219" s="65"/>
      <c r="FP219" s="65"/>
      <c r="FQ219" s="65"/>
      <c r="FR219" s="65"/>
      <c r="FS219" s="65"/>
      <c r="FT219" s="65"/>
      <c r="FU219" s="65"/>
    </row>
    <row r="220" spans="10:177" s="1" customFormat="1"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  <c r="AA220" s="65"/>
      <c r="AB220" s="65"/>
      <c r="AC220" s="65"/>
      <c r="AD220" s="65"/>
      <c r="AE220" s="65"/>
      <c r="AF220" s="65"/>
      <c r="AG220" s="65"/>
      <c r="AH220" s="65"/>
      <c r="AI220" s="65"/>
      <c r="AJ220" s="65"/>
      <c r="AK220" s="65"/>
      <c r="AL220" s="65"/>
      <c r="AM220" s="65"/>
      <c r="AN220" s="65"/>
      <c r="AO220" s="65"/>
      <c r="AP220" s="65"/>
      <c r="AQ220" s="65"/>
      <c r="AR220" s="65"/>
      <c r="AS220" s="65"/>
      <c r="AT220" s="65"/>
      <c r="AU220" s="65"/>
      <c r="AV220" s="65"/>
      <c r="AW220" s="65"/>
      <c r="AX220" s="65"/>
      <c r="AY220" s="65"/>
      <c r="AZ220" s="65"/>
      <c r="BA220" s="65"/>
      <c r="BB220" s="65"/>
      <c r="BC220" s="65"/>
      <c r="BD220" s="65"/>
      <c r="BE220" s="65"/>
      <c r="BF220" s="65"/>
      <c r="BG220" s="65"/>
      <c r="BH220" s="65"/>
      <c r="BI220" s="65"/>
      <c r="BJ220" s="65"/>
      <c r="BK220" s="65"/>
      <c r="BL220" s="65"/>
      <c r="BM220" s="65"/>
      <c r="BN220" s="65"/>
      <c r="BO220" s="65"/>
      <c r="BP220" s="65"/>
      <c r="BQ220" s="65"/>
      <c r="BR220" s="65"/>
      <c r="BS220" s="65"/>
      <c r="BT220" s="65"/>
      <c r="BU220" s="65"/>
      <c r="BV220" s="65"/>
      <c r="BW220" s="65"/>
      <c r="BX220" s="65"/>
      <c r="BY220" s="65"/>
      <c r="BZ220" s="65"/>
      <c r="CA220" s="65"/>
      <c r="CB220" s="65"/>
      <c r="CC220" s="65"/>
      <c r="CD220" s="65"/>
      <c r="CE220" s="65"/>
      <c r="CF220" s="65"/>
      <c r="CG220" s="65"/>
      <c r="CH220" s="65"/>
      <c r="CI220" s="65"/>
      <c r="CJ220" s="65"/>
      <c r="CK220" s="65"/>
      <c r="CL220" s="65"/>
      <c r="CM220" s="65"/>
      <c r="CN220" s="65"/>
      <c r="CO220" s="65"/>
      <c r="CP220" s="65"/>
      <c r="CQ220" s="65"/>
      <c r="CR220" s="65"/>
      <c r="CS220" s="65"/>
      <c r="CT220" s="65"/>
      <c r="CU220" s="65"/>
      <c r="CV220" s="65"/>
      <c r="CW220" s="65"/>
      <c r="CX220" s="65"/>
      <c r="CY220" s="65"/>
      <c r="CZ220" s="65"/>
      <c r="DA220" s="65"/>
      <c r="DB220" s="65"/>
      <c r="DC220" s="65"/>
      <c r="DD220" s="65"/>
      <c r="DE220" s="65"/>
      <c r="DF220" s="65"/>
      <c r="DG220" s="65"/>
      <c r="DH220" s="65"/>
      <c r="DI220" s="65"/>
      <c r="DJ220" s="65"/>
      <c r="DK220" s="65"/>
      <c r="DL220" s="65"/>
      <c r="DM220" s="65"/>
      <c r="DN220" s="65"/>
      <c r="DO220" s="65"/>
      <c r="DP220" s="65"/>
      <c r="DQ220" s="65"/>
      <c r="DR220" s="65"/>
      <c r="DS220" s="65"/>
      <c r="DT220" s="65"/>
      <c r="DU220" s="65"/>
      <c r="DV220" s="65"/>
      <c r="DW220" s="65"/>
      <c r="DX220" s="65"/>
      <c r="DY220" s="65"/>
      <c r="DZ220" s="65"/>
      <c r="EA220" s="65"/>
      <c r="EB220" s="65"/>
      <c r="EC220" s="65"/>
      <c r="ED220" s="65"/>
      <c r="EE220" s="65"/>
      <c r="EF220" s="65"/>
      <c r="EG220" s="65"/>
      <c r="EH220" s="65"/>
      <c r="EI220" s="65"/>
      <c r="EJ220" s="65"/>
      <c r="EK220" s="65"/>
      <c r="EL220" s="65"/>
      <c r="EM220" s="65"/>
      <c r="EN220" s="65"/>
      <c r="EO220" s="65"/>
      <c r="EP220" s="65"/>
      <c r="EQ220" s="65"/>
      <c r="ER220" s="65"/>
      <c r="ES220" s="65"/>
      <c r="ET220" s="65"/>
      <c r="EU220" s="65"/>
      <c r="EV220" s="65"/>
      <c r="EW220" s="65"/>
      <c r="EX220" s="65"/>
      <c r="EY220" s="65"/>
      <c r="EZ220" s="65"/>
      <c r="FA220" s="65"/>
      <c r="FB220" s="65"/>
      <c r="FC220" s="65"/>
      <c r="FD220" s="65"/>
      <c r="FE220" s="65"/>
      <c r="FF220" s="65"/>
      <c r="FG220" s="65"/>
      <c r="FH220" s="65"/>
      <c r="FI220" s="65"/>
      <c r="FJ220" s="65"/>
      <c r="FK220" s="65"/>
      <c r="FL220" s="65"/>
      <c r="FM220" s="65"/>
      <c r="FN220" s="65"/>
      <c r="FO220" s="65"/>
      <c r="FP220" s="65"/>
      <c r="FQ220" s="65"/>
      <c r="FR220" s="65"/>
      <c r="FS220" s="65"/>
      <c r="FT220" s="65"/>
      <c r="FU220" s="65"/>
    </row>
    <row r="221" spans="10:177" s="1" customFormat="1"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  <c r="AN221" s="65"/>
      <c r="AO221" s="65"/>
      <c r="AP221" s="65"/>
      <c r="AQ221" s="65"/>
      <c r="AR221" s="65"/>
      <c r="AS221" s="65"/>
      <c r="AT221" s="65"/>
      <c r="AU221" s="65"/>
      <c r="AV221" s="65"/>
      <c r="AW221" s="65"/>
      <c r="AX221" s="65"/>
      <c r="AY221" s="65"/>
      <c r="AZ221" s="65"/>
      <c r="BA221" s="65"/>
      <c r="BB221" s="65"/>
      <c r="BC221" s="65"/>
      <c r="BD221" s="65"/>
      <c r="BE221" s="65"/>
      <c r="BF221" s="65"/>
      <c r="BG221" s="65"/>
      <c r="BH221" s="65"/>
      <c r="BI221" s="65"/>
      <c r="BJ221" s="65"/>
      <c r="BK221" s="65"/>
      <c r="BL221" s="65"/>
      <c r="BM221" s="65"/>
      <c r="BN221" s="65"/>
      <c r="BO221" s="65"/>
      <c r="BP221" s="65"/>
      <c r="BQ221" s="65"/>
      <c r="BR221" s="65"/>
      <c r="BS221" s="65"/>
      <c r="BT221" s="65"/>
      <c r="BU221" s="65"/>
      <c r="BV221" s="65"/>
      <c r="BW221" s="65"/>
      <c r="BX221" s="65"/>
      <c r="BY221" s="65"/>
      <c r="BZ221" s="65"/>
      <c r="CA221" s="65"/>
      <c r="CB221" s="65"/>
      <c r="CC221" s="65"/>
      <c r="CD221" s="65"/>
      <c r="CE221" s="65"/>
      <c r="CF221" s="65"/>
      <c r="CG221" s="65"/>
      <c r="CH221" s="65"/>
      <c r="CI221" s="65"/>
      <c r="CJ221" s="65"/>
      <c r="CK221" s="65"/>
      <c r="CL221" s="65"/>
      <c r="CM221" s="65"/>
      <c r="CN221" s="65"/>
      <c r="CO221" s="65"/>
      <c r="CP221" s="65"/>
      <c r="CQ221" s="65"/>
      <c r="CR221" s="65"/>
      <c r="CS221" s="65"/>
      <c r="CT221" s="65"/>
      <c r="CU221" s="65"/>
      <c r="CV221" s="65"/>
      <c r="CW221" s="65"/>
      <c r="CX221" s="65"/>
      <c r="CY221" s="65"/>
      <c r="CZ221" s="65"/>
      <c r="DA221" s="65"/>
      <c r="DB221" s="65"/>
      <c r="DC221" s="65"/>
      <c r="DD221" s="65"/>
      <c r="DE221" s="65"/>
      <c r="DF221" s="65"/>
      <c r="DG221" s="65"/>
      <c r="DH221" s="65"/>
      <c r="DI221" s="65"/>
      <c r="DJ221" s="65"/>
      <c r="DK221" s="65"/>
      <c r="DL221" s="65"/>
      <c r="DM221" s="65"/>
      <c r="DN221" s="65"/>
      <c r="DO221" s="65"/>
      <c r="DP221" s="65"/>
      <c r="DQ221" s="65"/>
      <c r="DR221" s="65"/>
      <c r="DS221" s="65"/>
      <c r="DT221" s="65"/>
      <c r="DU221" s="65"/>
      <c r="DV221" s="65"/>
      <c r="DW221" s="65"/>
      <c r="DX221" s="65"/>
      <c r="DY221" s="65"/>
      <c r="DZ221" s="65"/>
      <c r="EA221" s="65"/>
      <c r="EB221" s="65"/>
      <c r="EC221" s="65"/>
      <c r="ED221" s="65"/>
      <c r="EE221" s="65"/>
      <c r="EF221" s="65"/>
      <c r="EG221" s="65"/>
      <c r="EH221" s="65"/>
      <c r="EI221" s="65"/>
      <c r="EJ221" s="65"/>
      <c r="EK221" s="65"/>
      <c r="EL221" s="65"/>
      <c r="EM221" s="65"/>
      <c r="EN221" s="65"/>
      <c r="EO221" s="65"/>
      <c r="EP221" s="65"/>
      <c r="EQ221" s="65"/>
      <c r="ER221" s="65"/>
      <c r="ES221" s="65"/>
      <c r="ET221" s="65"/>
      <c r="EU221" s="65"/>
      <c r="EV221" s="65"/>
      <c r="EW221" s="65"/>
      <c r="EX221" s="65"/>
      <c r="EY221" s="65"/>
      <c r="EZ221" s="65"/>
      <c r="FA221" s="65"/>
      <c r="FB221" s="65"/>
      <c r="FC221" s="65"/>
      <c r="FD221" s="65"/>
      <c r="FE221" s="65"/>
      <c r="FF221" s="65"/>
      <c r="FG221" s="65"/>
      <c r="FH221" s="65"/>
      <c r="FI221" s="65"/>
      <c r="FJ221" s="65"/>
      <c r="FK221" s="65"/>
      <c r="FL221" s="65"/>
      <c r="FM221" s="65"/>
      <c r="FN221" s="65"/>
      <c r="FO221" s="65"/>
      <c r="FP221" s="65"/>
      <c r="FQ221" s="65"/>
      <c r="FR221" s="65"/>
      <c r="FS221" s="65"/>
      <c r="FT221" s="65"/>
      <c r="FU221" s="65"/>
    </row>
    <row r="222" spans="10:177" s="1" customFormat="1"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  <c r="AT222" s="65"/>
      <c r="AU222" s="65"/>
      <c r="AV222" s="65"/>
      <c r="AW222" s="65"/>
      <c r="AX222" s="65"/>
      <c r="AY222" s="65"/>
      <c r="AZ222" s="65"/>
      <c r="BA222" s="65"/>
      <c r="BB222" s="65"/>
      <c r="BC222" s="65"/>
      <c r="BD222" s="65"/>
      <c r="BE222" s="65"/>
      <c r="BF222" s="65"/>
      <c r="BG222" s="65"/>
      <c r="BH222" s="65"/>
      <c r="BI222" s="65"/>
      <c r="BJ222" s="65"/>
      <c r="BK222" s="65"/>
      <c r="BL222" s="65"/>
      <c r="BM222" s="65"/>
      <c r="BN222" s="65"/>
      <c r="BO222" s="65"/>
      <c r="BP222" s="65"/>
      <c r="BQ222" s="65"/>
      <c r="BR222" s="65"/>
      <c r="BS222" s="65"/>
      <c r="BT222" s="65"/>
      <c r="BU222" s="65"/>
      <c r="BV222" s="65"/>
      <c r="BW222" s="65"/>
      <c r="BX222" s="65"/>
      <c r="BY222" s="65"/>
      <c r="BZ222" s="65"/>
      <c r="CA222" s="65"/>
      <c r="CB222" s="65"/>
      <c r="CC222" s="65"/>
      <c r="CD222" s="65"/>
      <c r="CE222" s="65"/>
      <c r="CF222" s="65"/>
      <c r="CG222" s="65"/>
      <c r="CH222" s="65"/>
      <c r="CI222" s="65"/>
      <c r="CJ222" s="65"/>
      <c r="CK222" s="65"/>
      <c r="CL222" s="65"/>
      <c r="CM222" s="65"/>
      <c r="CN222" s="65"/>
      <c r="CO222" s="65"/>
      <c r="CP222" s="65"/>
      <c r="CQ222" s="65"/>
      <c r="CR222" s="65"/>
      <c r="CS222" s="65"/>
      <c r="CT222" s="65"/>
      <c r="CU222" s="65"/>
      <c r="CV222" s="65"/>
      <c r="CW222" s="65"/>
      <c r="CX222" s="65"/>
      <c r="CY222" s="65"/>
      <c r="CZ222" s="65"/>
      <c r="DA222" s="65"/>
      <c r="DB222" s="65"/>
      <c r="DC222" s="65"/>
      <c r="DD222" s="65"/>
      <c r="DE222" s="65"/>
      <c r="DF222" s="65"/>
      <c r="DG222" s="65"/>
      <c r="DH222" s="65"/>
      <c r="DI222" s="65"/>
      <c r="DJ222" s="65"/>
      <c r="DK222" s="65"/>
      <c r="DL222" s="65"/>
      <c r="DM222" s="65"/>
      <c r="DN222" s="65"/>
      <c r="DO222" s="65"/>
      <c r="DP222" s="65"/>
      <c r="DQ222" s="65"/>
      <c r="DR222" s="65"/>
      <c r="DS222" s="65"/>
      <c r="DT222" s="65"/>
      <c r="DU222" s="65"/>
      <c r="DV222" s="65"/>
      <c r="DW222" s="65"/>
      <c r="DX222" s="65"/>
      <c r="DY222" s="65"/>
      <c r="DZ222" s="65"/>
      <c r="EA222" s="65"/>
      <c r="EB222" s="65"/>
      <c r="EC222" s="65"/>
      <c r="ED222" s="65"/>
      <c r="EE222" s="65"/>
      <c r="EF222" s="65"/>
      <c r="EG222" s="65"/>
      <c r="EH222" s="65"/>
      <c r="EI222" s="65"/>
      <c r="EJ222" s="65"/>
      <c r="EK222" s="65"/>
      <c r="EL222" s="65"/>
      <c r="EM222" s="65"/>
      <c r="EN222" s="65"/>
      <c r="EO222" s="65"/>
      <c r="EP222" s="65"/>
      <c r="EQ222" s="65"/>
      <c r="ER222" s="65"/>
      <c r="ES222" s="65"/>
      <c r="ET222" s="65"/>
      <c r="EU222" s="65"/>
      <c r="EV222" s="65"/>
      <c r="EW222" s="65"/>
      <c r="EX222" s="65"/>
      <c r="EY222" s="65"/>
      <c r="EZ222" s="65"/>
      <c r="FA222" s="65"/>
      <c r="FB222" s="65"/>
      <c r="FC222" s="65"/>
      <c r="FD222" s="65"/>
      <c r="FE222" s="65"/>
      <c r="FF222" s="65"/>
      <c r="FG222" s="65"/>
      <c r="FH222" s="65"/>
      <c r="FI222" s="65"/>
      <c r="FJ222" s="65"/>
      <c r="FK222" s="65"/>
      <c r="FL222" s="65"/>
      <c r="FM222" s="65"/>
      <c r="FN222" s="65"/>
      <c r="FO222" s="65"/>
      <c r="FP222" s="65"/>
      <c r="FQ222" s="65"/>
      <c r="FR222" s="65"/>
      <c r="FS222" s="65"/>
      <c r="FT222" s="65"/>
      <c r="FU222" s="65"/>
    </row>
    <row r="223" spans="10:177" s="1" customFormat="1"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  <c r="AO223" s="65"/>
      <c r="AP223" s="65"/>
      <c r="AQ223" s="65"/>
      <c r="AR223" s="65"/>
      <c r="AS223" s="65"/>
      <c r="AT223" s="65"/>
      <c r="AU223" s="65"/>
      <c r="AV223" s="65"/>
      <c r="AW223" s="65"/>
      <c r="AX223" s="65"/>
      <c r="AY223" s="65"/>
      <c r="AZ223" s="65"/>
      <c r="BA223" s="65"/>
      <c r="BB223" s="65"/>
      <c r="BC223" s="65"/>
      <c r="BD223" s="65"/>
      <c r="BE223" s="65"/>
      <c r="BF223" s="65"/>
      <c r="BG223" s="65"/>
      <c r="BH223" s="65"/>
      <c r="BI223" s="65"/>
      <c r="BJ223" s="65"/>
      <c r="BK223" s="65"/>
      <c r="BL223" s="65"/>
      <c r="BM223" s="65"/>
      <c r="BN223" s="65"/>
      <c r="BO223" s="65"/>
      <c r="BP223" s="65"/>
      <c r="BQ223" s="65"/>
      <c r="BR223" s="65"/>
      <c r="BS223" s="65"/>
      <c r="BT223" s="65"/>
      <c r="BU223" s="65"/>
      <c r="BV223" s="65"/>
      <c r="BW223" s="65"/>
      <c r="BX223" s="65"/>
      <c r="BY223" s="65"/>
      <c r="BZ223" s="65"/>
      <c r="CA223" s="65"/>
      <c r="CB223" s="65"/>
      <c r="CC223" s="65"/>
      <c r="CD223" s="65"/>
      <c r="CE223" s="65"/>
      <c r="CF223" s="65"/>
      <c r="CG223" s="65"/>
      <c r="CH223" s="65"/>
      <c r="CI223" s="65"/>
      <c r="CJ223" s="65"/>
      <c r="CK223" s="65"/>
      <c r="CL223" s="65"/>
      <c r="CM223" s="65"/>
      <c r="CN223" s="65"/>
      <c r="CO223" s="65"/>
      <c r="CP223" s="65"/>
      <c r="CQ223" s="65"/>
      <c r="CR223" s="65"/>
      <c r="CS223" s="65"/>
      <c r="CT223" s="65"/>
      <c r="CU223" s="65"/>
      <c r="CV223" s="65"/>
      <c r="CW223" s="65"/>
      <c r="CX223" s="65"/>
      <c r="CY223" s="65"/>
      <c r="CZ223" s="65"/>
      <c r="DA223" s="65"/>
      <c r="DB223" s="65"/>
      <c r="DC223" s="65"/>
      <c r="DD223" s="65"/>
      <c r="DE223" s="65"/>
      <c r="DF223" s="65"/>
      <c r="DG223" s="65"/>
      <c r="DH223" s="65"/>
      <c r="DI223" s="65"/>
      <c r="DJ223" s="65"/>
      <c r="DK223" s="65"/>
      <c r="DL223" s="65"/>
      <c r="DM223" s="65"/>
      <c r="DN223" s="65"/>
      <c r="DO223" s="65"/>
      <c r="DP223" s="65"/>
      <c r="DQ223" s="65"/>
      <c r="DR223" s="65"/>
      <c r="DS223" s="65"/>
      <c r="DT223" s="65"/>
      <c r="DU223" s="65"/>
      <c r="DV223" s="65"/>
      <c r="DW223" s="65"/>
      <c r="DX223" s="65"/>
      <c r="DY223" s="65"/>
      <c r="DZ223" s="65"/>
      <c r="EA223" s="65"/>
      <c r="EB223" s="65"/>
      <c r="EC223" s="65"/>
      <c r="ED223" s="65"/>
      <c r="EE223" s="65"/>
      <c r="EF223" s="65"/>
      <c r="EG223" s="65"/>
      <c r="EH223" s="65"/>
      <c r="EI223" s="65"/>
      <c r="EJ223" s="65"/>
      <c r="EK223" s="65"/>
      <c r="EL223" s="65"/>
      <c r="EM223" s="65"/>
      <c r="EN223" s="65"/>
      <c r="EO223" s="65"/>
      <c r="EP223" s="65"/>
      <c r="EQ223" s="65"/>
      <c r="ER223" s="65"/>
      <c r="ES223" s="65"/>
      <c r="ET223" s="65"/>
      <c r="EU223" s="65"/>
      <c r="EV223" s="65"/>
      <c r="EW223" s="65"/>
      <c r="EX223" s="65"/>
      <c r="EY223" s="65"/>
      <c r="EZ223" s="65"/>
      <c r="FA223" s="65"/>
      <c r="FB223" s="65"/>
      <c r="FC223" s="65"/>
      <c r="FD223" s="65"/>
      <c r="FE223" s="65"/>
      <c r="FF223" s="65"/>
      <c r="FG223" s="65"/>
      <c r="FH223" s="65"/>
      <c r="FI223" s="65"/>
      <c r="FJ223" s="65"/>
      <c r="FK223" s="65"/>
      <c r="FL223" s="65"/>
      <c r="FM223" s="65"/>
      <c r="FN223" s="65"/>
      <c r="FO223" s="65"/>
      <c r="FP223" s="65"/>
      <c r="FQ223" s="65"/>
      <c r="FR223" s="65"/>
      <c r="FS223" s="65"/>
      <c r="FT223" s="65"/>
      <c r="FU223" s="65"/>
    </row>
    <row r="224" spans="10:177" s="1" customFormat="1"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  <c r="AS224" s="65"/>
      <c r="AT224" s="65"/>
      <c r="AU224" s="65"/>
      <c r="AV224" s="65"/>
      <c r="AW224" s="65"/>
      <c r="AX224" s="65"/>
      <c r="AY224" s="65"/>
      <c r="AZ224" s="65"/>
      <c r="BA224" s="65"/>
      <c r="BB224" s="65"/>
      <c r="BC224" s="65"/>
      <c r="BD224" s="65"/>
      <c r="BE224" s="65"/>
      <c r="BF224" s="65"/>
      <c r="BG224" s="65"/>
      <c r="BH224" s="65"/>
      <c r="BI224" s="65"/>
      <c r="BJ224" s="65"/>
      <c r="BK224" s="65"/>
      <c r="BL224" s="65"/>
      <c r="BM224" s="65"/>
      <c r="BN224" s="65"/>
      <c r="BO224" s="65"/>
      <c r="BP224" s="65"/>
      <c r="BQ224" s="65"/>
      <c r="BR224" s="65"/>
      <c r="BS224" s="65"/>
      <c r="BT224" s="65"/>
      <c r="BU224" s="65"/>
      <c r="BV224" s="65"/>
      <c r="BW224" s="65"/>
      <c r="BX224" s="65"/>
      <c r="BY224" s="65"/>
      <c r="BZ224" s="65"/>
      <c r="CA224" s="65"/>
      <c r="CB224" s="65"/>
      <c r="CC224" s="65"/>
      <c r="CD224" s="65"/>
      <c r="CE224" s="65"/>
      <c r="CF224" s="65"/>
      <c r="CG224" s="65"/>
      <c r="CH224" s="65"/>
      <c r="CI224" s="65"/>
      <c r="CJ224" s="65"/>
      <c r="CK224" s="65"/>
      <c r="CL224" s="65"/>
      <c r="CM224" s="65"/>
      <c r="CN224" s="65"/>
      <c r="CO224" s="65"/>
      <c r="CP224" s="65"/>
      <c r="CQ224" s="65"/>
      <c r="CR224" s="65"/>
      <c r="CS224" s="65"/>
      <c r="CT224" s="65"/>
      <c r="CU224" s="65"/>
      <c r="CV224" s="65"/>
      <c r="CW224" s="65"/>
      <c r="CX224" s="65"/>
      <c r="CY224" s="65"/>
      <c r="CZ224" s="65"/>
      <c r="DA224" s="65"/>
      <c r="DB224" s="65"/>
      <c r="DC224" s="65"/>
      <c r="DD224" s="65"/>
      <c r="DE224" s="65"/>
      <c r="DF224" s="65"/>
      <c r="DG224" s="65"/>
      <c r="DH224" s="65"/>
      <c r="DI224" s="65"/>
      <c r="DJ224" s="65"/>
      <c r="DK224" s="65"/>
      <c r="DL224" s="65"/>
      <c r="DM224" s="65"/>
      <c r="DN224" s="65"/>
      <c r="DO224" s="65"/>
      <c r="DP224" s="65"/>
      <c r="DQ224" s="65"/>
      <c r="DR224" s="65"/>
      <c r="DS224" s="65"/>
      <c r="DT224" s="65"/>
      <c r="DU224" s="65"/>
      <c r="DV224" s="65"/>
      <c r="DW224" s="65"/>
      <c r="DX224" s="65"/>
      <c r="DY224" s="65"/>
      <c r="DZ224" s="65"/>
      <c r="EA224" s="65"/>
      <c r="EB224" s="65"/>
      <c r="EC224" s="65"/>
      <c r="ED224" s="65"/>
      <c r="EE224" s="65"/>
      <c r="EF224" s="65"/>
      <c r="EG224" s="65"/>
      <c r="EH224" s="65"/>
      <c r="EI224" s="65"/>
      <c r="EJ224" s="65"/>
      <c r="EK224" s="65"/>
      <c r="EL224" s="65"/>
      <c r="EM224" s="65"/>
      <c r="EN224" s="65"/>
      <c r="EO224" s="65"/>
      <c r="EP224" s="65"/>
      <c r="EQ224" s="65"/>
      <c r="ER224" s="65"/>
      <c r="ES224" s="65"/>
      <c r="ET224" s="65"/>
      <c r="EU224" s="65"/>
      <c r="EV224" s="65"/>
      <c r="EW224" s="65"/>
      <c r="EX224" s="65"/>
      <c r="EY224" s="65"/>
      <c r="EZ224" s="65"/>
      <c r="FA224" s="65"/>
      <c r="FB224" s="65"/>
      <c r="FC224" s="65"/>
      <c r="FD224" s="65"/>
      <c r="FE224" s="65"/>
      <c r="FF224" s="65"/>
      <c r="FG224" s="65"/>
      <c r="FH224" s="65"/>
      <c r="FI224" s="65"/>
      <c r="FJ224" s="65"/>
      <c r="FK224" s="65"/>
      <c r="FL224" s="65"/>
      <c r="FM224" s="65"/>
      <c r="FN224" s="65"/>
      <c r="FO224" s="65"/>
      <c r="FP224" s="65"/>
      <c r="FQ224" s="65"/>
      <c r="FR224" s="65"/>
      <c r="FS224" s="65"/>
      <c r="FT224" s="65"/>
      <c r="FU224" s="65"/>
    </row>
    <row r="225" spans="10:177" s="1" customFormat="1"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  <c r="AS225" s="65"/>
      <c r="AT225" s="65"/>
      <c r="AU225" s="65"/>
      <c r="AV225" s="65"/>
      <c r="AW225" s="65"/>
      <c r="AX225" s="65"/>
      <c r="AY225" s="65"/>
      <c r="AZ225" s="65"/>
      <c r="BA225" s="65"/>
      <c r="BB225" s="65"/>
      <c r="BC225" s="65"/>
      <c r="BD225" s="65"/>
      <c r="BE225" s="65"/>
      <c r="BF225" s="65"/>
      <c r="BG225" s="65"/>
      <c r="BH225" s="65"/>
      <c r="BI225" s="65"/>
      <c r="BJ225" s="65"/>
      <c r="BK225" s="65"/>
      <c r="BL225" s="65"/>
      <c r="BM225" s="65"/>
      <c r="BN225" s="65"/>
      <c r="BO225" s="65"/>
      <c r="BP225" s="65"/>
      <c r="BQ225" s="65"/>
      <c r="BR225" s="65"/>
      <c r="BS225" s="65"/>
      <c r="BT225" s="65"/>
      <c r="BU225" s="65"/>
      <c r="BV225" s="65"/>
      <c r="BW225" s="65"/>
      <c r="BX225" s="65"/>
      <c r="BY225" s="65"/>
      <c r="BZ225" s="65"/>
      <c r="CA225" s="65"/>
      <c r="CB225" s="65"/>
      <c r="CC225" s="65"/>
      <c r="CD225" s="65"/>
      <c r="CE225" s="65"/>
      <c r="CF225" s="65"/>
      <c r="CG225" s="65"/>
      <c r="CH225" s="65"/>
      <c r="CI225" s="65"/>
      <c r="CJ225" s="65"/>
      <c r="CK225" s="65"/>
      <c r="CL225" s="65"/>
      <c r="CM225" s="65"/>
      <c r="CN225" s="65"/>
      <c r="CO225" s="65"/>
      <c r="CP225" s="65"/>
      <c r="CQ225" s="65"/>
      <c r="CR225" s="65"/>
      <c r="CS225" s="65"/>
      <c r="CT225" s="65"/>
      <c r="CU225" s="65"/>
      <c r="CV225" s="65"/>
      <c r="CW225" s="65"/>
      <c r="CX225" s="65"/>
      <c r="CY225" s="65"/>
      <c r="CZ225" s="65"/>
      <c r="DA225" s="65"/>
      <c r="DB225" s="65"/>
      <c r="DC225" s="65"/>
      <c r="DD225" s="65"/>
      <c r="DE225" s="65"/>
      <c r="DF225" s="65"/>
      <c r="DG225" s="65"/>
      <c r="DH225" s="65"/>
      <c r="DI225" s="65"/>
      <c r="DJ225" s="65"/>
      <c r="DK225" s="65"/>
      <c r="DL225" s="65"/>
      <c r="DM225" s="65"/>
      <c r="DN225" s="65"/>
      <c r="DO225" s="65"/>
      <c r="DP225" s="65"/>
      <c r="DQ225" s="65"/>
      <c r="DR225" s="65"/>
      <c r="DS225" s="65"/>
      <c r="DT225" s="65"/>
      <c r="DU225" s="65"/>
      <c r="DV225" s="65"/>
      <c r="DW225" s="65"/>
      <c r="DX225" s="65"/>
      <c r="DY225" s="65"/>
      <c r="DZ225" s="65"/>
      <c r="EA225" s="65"/>
      <c r="EB225" s="65"/>
      <c r="EC225" s="65"/>
      <c r="ED225" s="65"/>
      <c r="EE225" s="65"/>
      <c r="EF225" s="65"/>
      <c r="EG225" s="65"/>
      <c r="EH225" s="65"/>
      <c r="EI225" s="65"/>
      <c r="EJ225" s="65"/>
      <c r="EK225" s="65"/>
      <c r="EL225" s="65"/>
      <c r="EM225" s="65"/>
      <c r="EN225" s="65"/>
      <c r="EO225" s="65"/>
      <c r="EP225" s="65"/>
      <c r="EQ225" s="65"/>
      <c r="ER225" s="65"/>
      <c r="ES225" s="65"/>
      <c r="ET225" s="65"/>
      <c r="EU225" s="65"/>
      <c r="EV225" s="65"/>
      <c r="EW225" s="65"/>
      <c r="EX225" s="65"/>
      <c r="EY225" s="65"/>
      <c r="EZ225" s="65"/>
      <c r="FA225" s="65"/>
      <c r="FB225" s="65"/>
      <c r="FC225" s="65"/>
      <c r="FD225" s="65"/>
      <c r="FE225" s="65"/>
      <c r="FF225" s="65"/>
      <c r="FG225" s="65"/>
      <c r="FH225" s="65"/>
      <c r="FI225" s="65"/>
      <c r="FJ225" s="65"/>
      <c r="FK225" s="65"/>
      <c r="FL225" s="65"/>
      <c r="FM225" s="65"/>
      <c r="FN225" s="65"/>
      <c r="FO225" s="65"/>
      <c r="FP225" s="65"/>
      <c r="FQ225" s="65"/>
      <c r="FR225" s="65"/>
      <c r="FS225" s="65"/>
      <c r="FT225" s="65"/>
      <c r="FU225" s="65"/>
    </row>
    <row r="226" spans="10:177" s="1" customFormat="1"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  <c r="AS226" s="65"/>
      <c r="AT226" s="65"/>
      <c r="AU226" s="65"/>
      <c r="AV226" s="65"/>
      <c r="AW226" s="65"/>
      <c r="AX226" s="65"/>
      <c r="AY226" s="65"/>
      <c r="AZ226" s="65"/>
      <c r="BA226" s="65"/>
      <c r="BB226" s="65"/>
      <c r="BC226" s="65"/>
      <c r="BD226" s="65"/>
      <c r="BE226" s="65"/>
      <c r="BF226" s="65"/>
      <c r="BG226" s="65"/>
      <c r="BH226" s="65"/>
      <c r="BI226" s="65"/>
      <c r="BJ226" s="65"/>
      <c r="BK226" s="65"/>
      <c r="BL226" s="65"/>
      <c r="BM226" s="65"/>
      <c r="BN226" s="65"/>
      <c r="BO226" s="65"/>
      <c r="BP226" s="65"/>
      <c r="BQ226" s="65"/>
      <c r="BR226" s="65"/>
      <c r="BS226" s="65"/>
      <c r="BT226" s="65"/>
      <c r="BU226" s="65"/>
      <c r="BV226" s="65"/>
      <c r="BW226" s="65"/>
      <c r="BX226" s="65"/>
      <c r="BY226" s="65"/>
      <c r="BZ226" s="65"/>
      <c r="CA226" s="65"/>
      <c r="CB226" s="65"/>
      <c r="CC226" s="65"/>
      <c r="CD226" s="65"/>
      <c r="CE226" s="65"/>
      <c r="CF226" s="65"/>
      <c r="CG226" s="65"/>
      <c r="CH226" s="65"/>
      <c r="CI226" s="65"/>
      <c r="CJ226" s="65"/>
      <c r="CK226" s="65"/>
      <c r="CL226" s="65"/>
      <c r="CM226" s="65"/>
      <c r="CN226" s="65"/>
      <c r="CO226" s="65"/>
      <c r="CP226" s="65"/>
      <c r="CQ226" s="65"/>
      <c r="CR226" s="65"/>
      <c r="CS226" s="65"/>
      <c r="CT226" s="65"/>
      <c r="CU226" s="65"/>
      <c r="CV226" s="65"/>
      <c r="CW226" s="65"/>
      <c r="CX226" s="65"/>
      <c r="CY226" s="65"/>
      <c r="CZ226" s="65"/>
      <c r="DA226" s="65"/>
      <c r="DB226" s="65"/>
      <c r="DC226" s="65"/>
      <c r="DD226" s="65"/>
      <c r="DE226" s="65"/>
      <c r="DF226" s="65"/>
      <c r="DG226" s="65"/>
      <c r="DH226" s="65"/>
      <c r="DI226" s="65"/>
      <c r="DJ226" s="65"/>
      <c r="DK226" s="65"/>
      <c r="DL226" s="65"/>
      <c r="DM226" s="65"/>
      <c r="DN226" s="65"/>
      <c r="DO226" s="65"/>
      <c r="DP226" s="65"/>
      <c r="DQ226" s="65"/>
      <c r="DR226" s="65"/>
      <c r="DS226" s="65"/>
      <c r="DT226" s="65"/>
      <c r="DU226" s="65"/>
      <c r="DV226" s="65"/>
      <c r="DW226" s="65"/>
      <c r="DX226" s="65"/>
      <c r="DY226" s="65"/>
      <c r="DZ226" s="65"/>
      <c r="EA226" s="65"/>
      <c r="EB226" s="65"/>
      <c r="EC226" s="65"/>
      <c r="ED226" s="65"/>
      <c r="EE226" s="65"/>
      <c r="EF226" s="65"/>
      <c r="EG226" s="65"/>
      <c r="EH226" s="65"/>
      <c r="EI226" s="65"/>
      <c r="EJ226" s="65"/>
      <c r="EK226" s="65"/>
      <c r="EL226" s="65"/>
      <c r="EM226" s="65"/>
      <c r="EN226" s="65"/>
      <c r="EO226" s="65"/>
      <c r="EP226" s="65"/>
      <c r="EQ226" s="65"/>
      <c r="ER226" s="65"/>
      <c r="ES226" s="65"/>
      <c r="ET226" s="65"/>
      <c r="EU226" s="65"/>
      <c r="EV226" s="65"/>
      <c r="EW226" s="65"/>
      <c r="EX226" s="65"/>
      <c r="EY226" s="65"/>
      <c r="EZ226" s="65"/>
      <c r="FA226" s="65"/>
      <c r="FB226" s="65"/>
      <c r="FC226" s="65"/>
      <c r="FD226" s="65"/>
      <c r="FE226" s="65"/>
      <c r="FF226" s="65"/>
      <c r="FG226" s="65"/>
      <c r="FH226" s="65"/>
      <c r="FI226" s="65"/>
      <c r="FJ226" s="65"/>
      <c r="FK226" s="65"/>
      <c r="FL226" s="65"/>
      <c r="FM226" s="65"/>
      <c r="FN226" s="65"/>
      <c r="FO226" s="65"/>
      <c r="FP226" s="65"/>
      <c r="FQ226" s="65"/>
      <c r="FR226" s="65"/>
      <c r="FS226" s="65"/>
      <c r="FT226" s="65"/>
      <c r="FU226" s="65"/>
    </row>
    <row r="227" spans="10:177" s="1" customFormat="1"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AO227" s="65"/>
      <c r="AP227" s="65"/>
      <c r="AQ227" s="65"/>
      <c r="AR227" s="65"/>
      <c r="AS227" s="65"/>
      <c r="AT227" s="65"/>
      <c r="AU227" s="65"/>
      <c r="AV227" s="65"/>
      <c r="AW227" s="65"/>
      <c r="AX227" s="65"/>
      <c r="AY227" s="65"/>
      <c r="AZ227" s="65"/>
      <c r="BA227" s="65"/>
      <c r="BB227" s="65"/>
      <c r="BC227" s="65"/>
      <c r="BD227" s="65"/>
      <c r="BE227" s="65"/>
      <c r="BF227" s="65"/>
      <c r="BG227" s="65"/>
      <c r="BH227" s="65"/>
      <c r="BI227" s="65"/>
      <c r="BJ227" s="65"/>
      <c r="BK227" s="65"/>
      <c r="BL227" s="65"/>
      <c r="BM227" s="65"/>
      <c r="BN227" s="65"/>
      <c r="BO227" s="65"/>
      <c r="BP227" s="65"/>
      <c r="BQ227" s="65"/>
      <c r="BR227" s="65"/>
      <c r="BS227" s="65"/>
      <c r="BT227" s="65"/>
      <c r="BU227" s="65"/>
      <c r="BV227" s="65"/>
      <c r="BW227" s="65"/>
      <c r="BX227" s="65"/>
      <c r="BY227" s="65"/>
      <c r="BZ227" s="65"/>
      <c r="CA227" s="65"/>
      <c r="CB227" s="65"/>
      <c r="CC227" s="65"/>
      <c r="CD227" s="65"/>
      <c r="CE227" s="65"/>
      <c r="CF227" s="65"/>
      <c r="CG227" s="65"/>
      <c r="CH227" s="65"/>
      <c r="CI227" s="65"/>
      <c r="CJ227" s="65"/>
      <c r="CK227" s="65"/>
      <c r="CL227" s="65"/>
      <c r="CM227" s="65"/>
      <c r="CN227" s="65"/>
      <c r="CO227" s="65"/>
      <c r="CP227" s="65"/>
      <c r="CQ227" s="65"/>
      <c r="CR227" s="65"/>
      <c r="CS227" s="65"/>
      <c r="CT227" s="65"/>
      <c r="CU227" s="65"/>
      <c r="CV227" s="65"/>
      <c r="CW227" s="65"/>
      <c r="CX227" s="65"/>
      <c r="CY227" s="65"/>
      <c r="CZ227" s="65"/>
      <c r="DA227" s="65"/>
      <c r="DB227" s="65"/>
      <c r="DC227" s="65"/>
      <c r="DD227" s="65"/>
      <c r="DE227" s="65"/>
      <c r="DF227" s="65"/>
      <c r="DG227" s="65"/>
      <c r="DH227" s="65"/>
      <c r="DI227" s="65"/>
      <c r="DJ227" s="65"/>
      <c r="DK227" s="65"/>
      <c r="DL227" s="65"/>
      <c r="DM227" s="65"/>
      <c r="DN227" s="65"/>
      <c r="DO227" s="65"/>
      <c r="DP227" s="65"/>
      <c r="DQ227" s="65"/>
      <c r="DR227" s="65"/>
      <c r="DS227" s="65"/>
      <c r="DT227" s="65"/>
      <c r="DU227" s="65"/>
      <c r="DV227" s="65"/>
      <c r="DW227" s="65"/>
      <c r="DX227" s="65"/>
      <c r="DY227" s="65"/>
      <c r="DZ227" s="65"/>
      <c r="EA227" s="65"/>
      <c r="EB227" s="65"/>
      <c r="EC227" s="65"/>
      <c r="ED227" s="65"/>
      <c r="EE227" s="65"/>
      <c r="EF227" s="65"/>
      <c r="EG227" s="65"/>
      <c r="EH227" s="65"/>
      <c r="EI227" s="65"/>
      <c r="EJ227" s="65"/>
      <c r="EK227" s="65"/>
      <c r="EL227" s="65"/>
      <c r="EM227" s="65"/>
      <c r="EN227" s="65"/>
      <c r="EO227" s="65"/>
      <c r="EP227" s="65"/>
      <c r="EQ227" s="65"/>
      <c r="ER227" s="65"/>
      <c r="ES227" s="65"/>
      <c r="ET227" s="65"/>
      <c r="EU227" s="65"/>
      <c r="EV227" s="65"/>
      <c r="EW227" s="65"/>
      <c r="EX227" s="65"/>
      <c r="EY227" s="65"/>
      <c r="EZ227" s="65"/>
      <c r="FA227" s="65"/>
      <c r="FB227" s="65"/>
      <c r="FC227" s="65"/>
      <c r="FD227" s="65"/>
      <c r="FE227" s="65"/>
      <c r="FF227" s="65"/>
      <c r="FG227" s="65"/>
      <c r="FH227" s="65"/>
      <c r="FI227" s="65"/>
      <c r="FJ227" s="65"/>
      <c r="FK227" s="65"/>
      <c r="FL227" s="65"/>
      <c r="FM227" s="65"/>
      <c r="FN227" s="65"/>
      <c r="FO227" s="65"/>
      <c r="FP227" s="65"/>
      <c r="FQ227" s="65"/>
      <c r="FR227" s="65"/>
      <c r="FS227" s="65"/>
      <c r="FT227" s="65"/>
      <c r="FU227" s="65"/>
    </row>
    <row r="228" spans="10:177" s="1" customFormat="1"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  <c r="Z228" s="65"/>
      <c r="AA228" s="65"/>
      <c r="AB228" s="65"/>
      <c r="AC228" s="65"/>
      <c r="AD228" s="65"/>
      <c r="AE228" s="65"/>
      <c r="AF228" s="65"/>
      <c r="AG228" s="65"/>
      <c r="AH228" s="65"/>
      <c r="AI228" s="65"/>
      <c r="AJ228" s="65"/>
      <c r="AK228" s="65"/>
      <c r="AL228" s="65"/>
      <c r="AM228" s="65"/>
      <c r="AN228" s="65"/>
      <c r="AO228" s="65"/>
      <c r="AP228" s="65"/>
      <c r="AQ228" s="65"/>
      <c r="AR228" s="65"/>
      <c r="AS228" s="65"/>
      <c r="AT228" s="65"/>
      <c r="AU228" s="65"/>
      <c r="AV228" s="65"/>
      <c r="AW228" s="65"/>
      <c r="AX228" s="65"/>
      <c r="AY228" s="65"/>
      <c r="AZ228" s="65"/>
      <c r="BA228" s="65"/>
      <c r="BB228" s="65"/>
      <c r="BC228" s="65"/>
      <c r="BD228" s="65"/>
      <c r="BE228" s="65"/>
      <c r="BF228" s="65"/>
      <c r="BG228" s="65"/>
      <c r="BH228" s="65"/>
      <c r="BI228" s="65"/>
      <c r="BJ228" s="65"/>
      <c r="BK228" s="65"/>
      <c r="BL228" s="65"/>
      <c r="BM228" s="65"/>
      <c r="BN228" s="65"/>
      <c r="BO228" s="65"/>
      <c r="BP228" s="65"/>
      <c r="BQ228" s="65"/>
      <c r="BR228" s="65"/>
      <c r="BS228" s="65"/>
      <c r="BT228" s="65"/>
      <c r="BU228" s="65"/>
      <c r="BV228" s="65"/>
      <c r="BW228" s="65"/>
      <c r="BX228" s="65"/>
      <c r="BY228" s="65"/>
      <c r="BZ228" s="65"/>
      <c r="CA228" s="65"/>
      <c r="CB228" s="65"/>
      <c r="CC228" s="65"/>
      <c r="CD228" s="65"/>
      <c r="CE228" s="65"/>
      <c r="CF228" s="65"/>
      <c r="CG228" s="65"/>
      <c r="CH228" s="65"/>
      <c r="CI228" s="65"/>
      <c r="CJ228" s="65"/>
      <c r="CK228" s="65"/>
      <c r="CL228" s="65"/>
      <c r="CM228" s="65"/>
      <c r="CN228" s="65"/>
      <c r="CO228" s="65"/>
      <c r="CP228" s="65"/>
      <c r="CQ228" s="65"/>
      <c r="CR228" s="65"/>
      <c r="CS228" s="65"/>
      <c r="CT228" s="65"/>
      <c r="CU228" s="65"/>
      <c r="CV228" s="65"/>
      <c r="CW228" s="65"/>
      <c r="CX228" s="65"/>
      <c r="CY228" s="65"/>
      <c r="CZ228" s="65"/>
      <c r="DA228" s="65"/>
      <c r="DB228" s="65"/>
      <c r="DC228" s="65"/>
      <c r="DD228" s="65"/>
      <c r="DE228" s="65"/>
      <c r="DF228" s="65"/>
      <c r="DG228" s="65"/>
      <c r="DH228" s="65"/>
      <c r="DI228" s="65"/>
      <c r="DJ228" s="65"/>
      <c r="DK228" s="65"/>
      <c r="DL228" s="65"/>
      <c r="DM228" s="65"/>
      <c r="DN228" s="65"/>
      <c r="DO228" s="65"/>
      <c r="DP228" s="65"/>
      <c r="DQ228" s="65"/>
      <c r="DR228" s="65"/>
      <c r="DS228" s="65"/>
      <c r="DT228" s="65"/>
      <c r="DU228" s="65"/>
      <c r="DV228" s="65"/>
      <c r="DW228" s="65"/>
      <c r="DX228" s="65"/>
      <c r="DY228" s="65"/>
      <c r="DZ228" s="65"/>
      <c r="EA228" s="65"/>
      <c r="EB228" s="65"/>
      <c r="EC228" s="65"/>
      <c r="ED228" s="65"/>
      <c r="EE228" s="65"/>
      <c r="EF228" s="65"/>
      <c r="EG228" s="65"/>
      <c r="EH228" s="65"/>
      <c r="EI228" s="65"/>
      <c r="EJ228" s="65"/>
      <c r="EK228" s="65"/>
      <c r="EL228" s="65"/>
      <c r="EM228" s="65"/>
      <c r="EN228" s="65"/>
      <c r="EO228" s="65"/>
      <c r="EP228" s="65"/>
      <c r="EQ228" s="65"/>
      <c r="ER228" s="65"/>
      <c r="ES228" s="65"/>
      <c r="ET228" s="65"/>
      <c r="EU228" s="65"/>
      <c r="EV228" s="65"/>
      <c r="EW228" s="65"/>
      <c r="EX228" s="65"/>
      <c r="EY228" s="65"/>
      <c r="EZ228" s="65"/>
      <c r="FA228" s="65"/>
      <c r="FB228" s="65"/>
      <c r="FC228" s="65"/>
      <c r="FD228" s="65"/>
      <c r="FE228" s="65"/>
      <c r="FF228" s="65"/>
      <c r="FG228" s="65"/>
      <c r="FH228" s="65"/>
      <c r="FI228" s="65"/>
      <c r="FJ228" s="65"/>
      <c r="FK228" s="65"/>
      <c r="FL228" s="65"/>
      <c r="FM228" s="65"/>
      <c r="FN228" s="65"/>
      <c r="FO228" s="65"/>
      <c r="FP228" s="65"/>
      <c r="FQ228" s="65"/>
      <c r="FR228" s="65"/>
      <c r="FS228" s="65"/>
      <c r="FT228" s="65"/>
      <c r="FU228" s="65"/>
    </row>
    <row r="229" spans="10:177" s="1" customFormat="1"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  <c r="AA229" s="65"/>
      <c r="AB229" s="65"/>
      <c r="AC229" s="65"/>
      <c r="AD229" s="65"/>
      <c r="AE229" s="65"/>
      <c r="AF229" s="65"/>
      <c r="AG229" s="65"/>
      <c r="AH229" s="65"/>
      <c r="AI229" s="65"/>
      <c r="AJ229" s="65"/>
      <c r="AK229" s="65"/>
      <c r="AL229" s="65"/>
      <c r="AM229" s="65"/>
      <c r="AN229" s="65"/>
      <c r="AO229" s="65"/>
      <c r="AP229" s="65"/>
      <c r="AQ229" s="65"/>
      <c r="AR229" s="65"/>
      <c r="AS229" s="65"/>
      <c r="AT229" s="65"/>
      <c r="AU229" s="65"/>
      <c r="AV229" s="65"/>
      <c r="AW229" s="65"/>
      <c r="AX229" s="65"/>
      <c r="AY229" s="65"/>
      <c r="AZ229" s="65"/>
      <c r="BA229" s="65"/>
      <c r="BB229" s="65"/>
      <c r="BC229" s="65"/>
      <c r="BD229" s="65"/>
      <c r="BE229" s="65"/>
      <c r="BF229" s="65"/>
      <c r="BG229" s="65"/>
      <c r="BH229" s="65"/>
      <c r="BI229" s="65"/>
      <c r="BJ229" s="65"/>
      <c r="BK229" s="65"/>
      <c r="BL229" s="65"/>
      <c r="BM229" s="65"/>
      <c r="BN229" s="65"/>
      <c r="BO229" s="65"/>
      <c r="BP229" s="65"/>
      <c r="BQ229" s="65"/>
      <c r="BR229" s="65"/>
      <c r="BS229" s="65"/>
      <c r="BT229" s="65"/>
      <c r="BU229" s="65"/>
      <c r="BV229" s="65"/>
      <c r="BW229" s="65"/>
      <c r="BX229" s="65"/>
      <c r="BY229" s="65"/>
      <c r="BZ229" s="65"/>
      <c r="CA229" s="65"/>
      <c r="CB229" s="65"/>
      <c r="CC229" s="65"/>
      <c r="CD229" s="65"/>
      <c r="CE229" s="65"/>
      <c r="CF229" s="65"/>
      <c r="CG229" s="65"/>
      <c r="CH229" s="65"/>
      <c r="CI229" s="65"/>
      <c r="CJ229" s="65"/>
      <c r="CK229" s="65"/>
      <c r="CL229" s="65"/>
      <c r="CM229" s="65"/>
      <c r="CN229" s="65"/>
      <c r="CO229" s="65"/>
      <c r="CP229" s="65"/>
      <c r="CQ229" s="65"/>
      <c r="CR229" s="65"/>
      <c r="CS229" s="65"/>
      <c r="CT229" s="65"/>
      <c r="CU229" s="65"/>
      <c r="CV229" s="65"/>
      <c r="CW229" s="65"/>
      <c r="CX229" s="65"/>
      <c r="CY229" s="65"/>
      <c r="CZ229" s="65"/>
      <c r="DA229" s="65"/>
      <c r="DB229" s="65"/>
      <c r="DC229" s="65"/>
      <c r="DD229" s="65"/>
      <c r="DE229" s="65"/>
      <c r="DF229" s="65"/>
      <c r="DG229" s="65"/>
      <c r="DH229" s="65"/>
      <c r="DI229" s="65"/>
      <c r="DJ229" s="65"/>
      <c r="DK229" s="65"/>
      <c r="DL229" s="65"/>
      <c r="DM229" s="65"/>
      <c r="DN229" s="65"/>
      <c r="DO229" s="65"/>
      <c r="DP229" s="65"/>
      <c r="DQ229" s="65"/>
      <c r="DR229" s="65"/>
      <c r="DS229" s="65"/>
      <c r="DT229" s="65"/>
      <c r="DU229" s="65"/>
      <c r="DV229" s="65"/>
      <c r="DW229" s="65"/>
      <c r="DX229" s="65"/>
      <c r="DY229" s="65"/>
      <c r="DZ229" s="65"/>
      <c r="EA229" s="65"/>
      <c r="EB229" s="65"/>
      <c r="EC229" s="65"/>
      <c r="ED229" s="65"/>
      <c r="EE229" s="65"/>
      <c r="EF229" s="65"/>
      <c r="EG229" s="65"/>
      <c r="EH229" s="65"/>
      <c r="EI229" s="65"/>
      <c r="EJ229" s="65"/>
      <c r="EK229" s="65"/>
      <c r="EL229" s="65"/>
      <c r="EM229" s="65"/>
      <c r="EN229" s="65"/>
      <c r="EO229" s="65"/>
      <c r="EP229" s="65"/>
      <c r="EQ229" s="65"/>
      <c r="ER229" s="65"/>
      <c r="ES229" s="65"/>
      <c r="ET229" s="65"/>
      <c r="EU229" s="65"/>
      <c r="EV229" s="65"/>
      <c r="EW229" s="65"/>
      <c r="EX229" s="65"/>
      <c r="EY229" s="65"/>
      <c r="EZ229" s="65"/>
      <c r="FA229" s="65"/>
      <c r="FB229" s="65"/>
      <c r="FC229" s="65"/>
      <c r="FD229" s="65"/>
      <c r="FE229" s="65"/>
      <c r="FF229" s="65"/>
      <c r="FG229" s="65"/>
      <c r="FH229" s="65"/>
      <c r="FI229" s="65"/>
      <c r="FJ229" s="65"/>
      <c r="FK229" s="65"/>
      <c r="FL229" s="65"/>
      <c r="FM229" s="65"/>
      <c r="FN229" s="65"/>
      <c r="FO229" s="65"/>
      <c r="FP229" s="65"/>
      <c r="FQ229" s="65"/>
      <c r="FR229" s="65"/>
      <c r="FS229" s="65"/>
      <c r="FT229" s="65"/>
      <c r="FU229" s="65"/>
    </row>
    <row r="230" spans="10:177" s="1" customFormat="1"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  <c r="AA230" s="65"/>
      <c r="AB230" s="65"/>
      <c r="AC230" s="65"/>
      <c r="AD230" s="65"/>
      <c r="AE230" s="65"/>
      <c r="AF230" s="65"/>
      <c r="AG230" s="65"/>
      <c r="AH230" s="65"/>
      <c r="AI230" s="65"/>
      <c r="AJ230" s="65"/>
      <c r="AK230" s="65"/>
      <c r="AL230" s="65"/>
      <c r="AM230" s="65"/>
      <c r="AN230" s="65"/>
      <c r="AO230" s="65"/>
      <c r="AP230" s="65"/>
      <c r="AQ230" s="65"/>
      <c r="AR230" s="65"/>
      <c r="AS230" s="65"/>
      <c r="AT230" s="65"/>
      <c r="AU230" s="65"/>
      <c r="AV230" s="65"/>
      <c r="AW230" s="65"/>
      <c r="AX230" s="65"/>
      <c r="AY230" s="65"/>
      <c r="AZ230" s="65"/>
      <c r="BA230" s="65"/>
      <c r="BB230" s="65"/>
      <c r="BC230" s="65"/>
      <c r="BD230" s="65"/>
      <c r="BE230" s="65"/>
      <c r="BF230" s="65"/>
      <c r="BG230" s="65"/>
      <c r="BH230" s="65"/>
      <c r="BI230" s="65"/>
      <c r="BJ230" s="65"/>
      <c r="BK230" s="65"/>
      <c r="BL230" s="65"/>
      <c r="BM230" s="65"/>
      <c r="BN230" s="65"/>
      <c r="BO230" s="65"/>
      <c r="BP230" s="65"/>
      <c r="BQ230" s="65"/>
      <c r="BR230" s="65"/>
      <c r="BS230" s="65"/>
      <c r="BT230" s="65"/>
      <c r="BU230" s="65"/>
      <c r="BV230" s="65"/>
      <c r="BW230" s="65"/>
      <c r="BX230" s="65"/>
      <c r="BY230" s="65"/>
      <c r="BZ230" s="65"/>
      <c r="CA230" s="65"/>
      <c r="CB230" s="65"/>
      <c r="CC230" s="65"/>
      <c r="CD230" s="65"/>
      <c r="CE230" s="65"/>
      <c r="CF230" s="65"/>
      <c r="CG230" s="65"/>
      <c r="CH230" s="65"/>
      <c r="CI230" s="65"/>
      <c r="CJ230" s="65"/>
      <c r="CK230" s="65"/>
      <c r="CL230" s="65"/>
      <c r="CM230" s="65"/>
      <c r="CN230" s="65"/>
      <c r="CO230" s="65"/>
      <c r="CP230" s="65"/>
      <c r="CQ230" s="65"/>
      <c r="CR230" s="65"/>
      <c r="CS230" s="65"/>
      <c r="CT230" s="65"/>
      <c r="CU230" s="65"/>
      <c r="CV230" s="65"/>
      <c r="CW230" s="65"/>
      <c r="CX230" s="65"/>
      <c r="CY230" s="65"/>
      <c r="CZ230" s="65"/>
      <c r="DA230" s="65"/>
      <c r="DB230" s="65"/>
      <c r="DC230" s="65"/>
      <c r="DD230" s="65"/>
      <c r="DE230" s="65"/>
      <c r="DF230" s="65"/>
      <c r="DG230" s="65"/>
      <c r="DH230" s="65"/>
      <c r="DI230" s="65"/>
      <c r="DJ230" s="65"/>
      <c r="DK230" s="65"/>
      <c r="DL230" s="65"/>
      <c r="DM230" s="65"/>
      <c r="DN230" s="65"/>
      <c r="DO230" s="65"/>
      <c r="DP230" s="65"/>
      <c r="DQ230" s="65"/>
      <c r="DR230" s="65"/>
      <c r="DS230" s="65"/>
      <c r="DT230" s="65"/>
      <c r="DU230" s="65"/>
      <c r="DV230" s="65"/>
      <c r="DW230" s="65"/>
      <c r="DX230" s="65"/>
      <c r="DY230" s="65"/>
      <c r="DZ230" s="65"/>
      <c r="EA230" s="65"/>
      <c r="EB230" s="65"/>
      <c r="EC230" s="65"/>
      <c r="ED230" s="65"/>
      <c r="EE230" s="65"/>
      <c r="EF230" s="65"/>
      <c r="EG230" s="65"/>
      <c r="EH230" s="65"/>
      <c r="EI230" s="65"/>
      <c r="EJ230" s="65"/>
      <c r="EK230" s="65"/>
      <c r="EL230" s="65"/>
      <c r="EM230" s="65"/>
      <c r="EN230" s="65"/>
      <c r="EO230" s="65"/>
      <c r="EP230" s="65"/>
      <c r="EQ230" s="65"/>
      <c r="ER230" s="65"/>
      <c r="ES230" s="65"/>
      <c r="ET230" s="65"/>
      <c r="EU230" s="65"/>
      <c r="EV230" s="65"/>
      <c r="EW230" s="65"/>
      <c r="EX230" s="65"/>
      <c r="EY230" s="65"/>
      <c r="EZ230" s="65"/>
      <c r="FA230" s="65"/>
      <c r="FB230" s="65"/>
      <c r="FC230" s="65"/>
      <c r="FD230" s="65"/>
      <c r="FE230" s="65"/>
      <c r="FF230" s="65"/>
      <c r="FG230" s="65"/>
      <c r="FH230" s="65"/>
      <c r="FI230" s="65"/>
      <c r="FJ230" s="65"/>
      <c r="FK230" s="65"/>
      <c r="FL230" s="65"/>
      <c r="FM230" s="65"/>
      <c r="FN230" s="65"/>
      <c r="FO230" s="65"/>
      <c r="FP230" s="65"/>
      <c r="FQ230" s="65"/>
      <c r="FR230" s="65"/>
      <c r="FS230" s="65"/>
      <c r="FT230" s="65"/>
      <c r="FU230" s="65"/>
    </row>
    <row r="231" spans="10:177" s="1" customFormat="1"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  <c r="AA231" s="65"/>
      <c r="AB231" s="65"/>
      <c r="AC231" s="65"/>
      <c r="AD231" s="65"/>
      <c r="AE231" s="65"/>
      <c r="AF231" s="65"/>
      <c r="AG231" s="65"/>
      <c r="AH231" s="65"/>
      <c r="AI231" s="65"/>
      <c r="AJ231" s="65"/>
      <c r="AK231" s="65"/>
      <c r="AL231" s="65"/>
      <c r="AM231" s="65"/>
      <c r="AN231" s="65"/>
      <c r="AO231" s="65"/>
      <c r="AP231" s="65"/>
      <c r="AQ231" s="65"/>
      <c r="AR231" s="65"/>
      <c r="AS231" s="65"/>
      <c r="AT231" s="65"/>
      <c r="AU231" s="65"/>
      <c r="AV231" s="65"/>
      <c r="AW231" s="65"/>
      <c r="AX231" s="65"/>
      <c r="AY231" s="65"/>
      <c r="AZ231" s="65"/>
      <c r="BA231" s="65"/>
      <c r="BB231" s="65"/>
      <c r="BC231" s="65"/>
      <c r="BD231" s="65"/>
      <c r="BE231" s="65"/>
      <c r="BF231" s="65"/>
      <c r="BG231" s="65"/>
      <c r="BH231" s="65"/>
      <c r="BI231" s="65"/>
      <c r="BJ231" s="65"/>
      <c r="BK231" s="65"/>
      <c r="BL231" s="65"/>
      <c r="BM231" s="65"/>
      <c r="BN231" s="65"/>
      <c r="BO231" s="65"/>
      <c r="BP231" s="65"/>
      <c r="BQ231" s="65"/>
      <c r="BR231" s="65"/>
      <c r="BS231" s="65"/>
      <c r="BT231" s="65"/>
      <c r="BU231" s="65"/>
      <c r="BV231" s="65"/>
      <c r="BW231" s="65"/>
      <c r="BX231" s="65"/>
      <c r="BY231" s="65"/>
      <c r="BZ231" s="65"/>
      <c r="CA231" s="65"/>
      <c r="CB231" s="65"/>
      <c r="CC231" s="65"/>
      <c r="CD231" s="65"/>
      <c r="CE231" s="65"/>
      <c r="CF231" s="65"/>
      <c r="CG231" s="65"/>
      <c r="CH231" s="65"/>
      <c r="CI231" s="65"/>
      <c r="CJ231" s="65"/>
      <c r="CK231" s="65"/>
      <c r="CL231" s="65"/>
      <c r="CM231" s="65"/>
      <c r="CN231" s="65"/>
      <c r="CO231" s="65"/>
      <c r="CP231" s="65"/>
      <c r="CQ231" s="65"/>
      <c r="CR231" s="65"/>
      <c r="CS231" s="65"/>
      <c r="CT231" s="65"/>
      <c r="CU231" s="65"/>
      <c r="CV231" s="65"/>
      <c r="CW231" s="65"/>
      <c r="CX231" s="65"/>
      <c r="CY231" s="65"/>
      <c r="CZ231" s="65"/>
      <c r="DA231" s="65"/>
      <c r="DB231" s="65"/>
      <c r="DC231" s="65"/>
      <c r="DD231" s="65"/>
      <c r="DE231" s="65"/>
      <c r="DF231" s="65"/>
      <c r="DG231" s="65"/>
      <c r="DH231" s="65"/>
      <c r="DI231" s="65"/>
      <c r="DJ231" s="65"/>
      <c r="DK231" s="65"/>
      <c r="DL231" s="65"/>
      <c r="DM231" s="65"/>
      <c r="DN231" s="65"/>
      <c r="DO231" s="65"/>
      <c r="DP231" s="65"/>
      <c r="DQ231" s="65"/>
      <c r="DR231" s="65"/>
      <c r="DS231" s="65"/>
      <c r="DT231" s="65"/>
      <c r="DU231" s="65"/>
      <c r="DV231" s="65"/>
      <c r="DW231" s="65"/>
      <c r="DX231" s="65"/>
      <c r="DY231" s="65"/>
      <c r="DZ231" s="65"/>
      <c r="EA231" s="65"/>
      <c r="EB231" s="65"/>
      <c r="EC231" s="65"/>
      <c r="ED231" s="65"/>
      <c r="EE231" s="65"/>
      <c r="EF231" s="65"/>
      <c r="EG231" s="65"/>
      <c r="EH231" s="65"/>
      <c r="EI231" s="65"/>
      <c r="EJ231" s="65"/>
      <c r="EK231" s="65"/>
      <c r="EL231" s="65"/>
      <c r="EM231" s="65"/>
      <c r="EN231" s="65"/>
      <c r="EO231" s="65"/>
      <c r="EP231" s="65"/>
      <c r="EQ231" s="65"/>
      <c r="ER231" s="65"/>
      <c r="ES231" s="65"/>
      <c r="ET231" s="65"/>
      <c r="EU231" s="65"/>
      <c r="EV231" s="65"/>
      <c r="EW231" s="65"/>
      <c r="EX231" s="65"/>
      <c r="EY231" s="65"/>
      <c r="EZ231" s="65"/>
      <c r="FA231" s="65"/>
      <c r="FB231" s="65"/>
      <c r="FC231" s="65"/>
      <c r="FD231" s="65"/>
      <c r="FE231" s="65"/>
      <c r="FF231" s="65"/>
      <c r="FG231" s="65"/>
      <c r="FH231" s="65"/>
      <c r="FI231" s="65"/>
      <c r="FJ231" s="65"/>
      <c r="FK231" s="65"/>
      <c r="FL231" s="65"/>
      <c r="FM231" s="65"/>
      <c r="FN231" s="65"/>
      <c r="FO231" s="65"/>
      <c r="FP231" s="65"/>
      <c r="FQ231" s="65"/>
      <c r="FR231" s="65"/>
      <c r="FS231" s="65"/>
      <c r="FT231" s="65"/>
      <c r="FU231" s="65"/>
    </row>
    <row r="232" spans="10:177" s="1" customFormat="1"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5"/>
      <c r="Z232" s="65"/>
      <c r="AA232" s="65"/>
      <c r="AB232" s="65"/>
      <c r="AC232" s="65"/>
      <c r="AD232" s="65"/>
      <c r="AE232" s="65"/>
      <c r="AF232" s="65"/>
      <c r="AG232" s="65"/>
      <c r="AH232" s="65"/>
      <c r="AI232" s="65"/>
      <c r="AJ232" s="65"/>
      <c r="AK232" s="65"/>
      <c r="AL232" s="65"/>
      <c r="AM232" s="65"/>
      <c r="AN232" s="65"/>
      <c r="AO232" s="65"/>
      <c r="AP232" s="65"/>
      <c r="AQ232" s="65"/>
      <c r="AR232" s="65"/>
      <c r="AS232" s="65"/>
      <c r="AT232" s="65"/>
      <c r="AU232" s="65"/>
      <c r="AV232" s="65"/>
      <c r="AW232" s="65"/>
      <c r="AX232" s="65"/>
      <c r="AY232" s="65"/>
      <c r="AZ232" s="65"/>
      <c r="BA232" s="65"/>
      <c r="BB232" s="65"/>
      <c r="BC232" s="65"/>
      <c r="BD232" s="65"/>
      <c r="BE232" s="65"/>
      <c r="BF232" s="65"/>
      <c r="BG232" s="65"/>
      <c r="BH232" s="65"/>
      <c r="BI232" s="65"/>
      <c r="BJ232" s="65"/>
      <c r="BK232" s="65"/>
      <c r="BL232" s="65"/>
      <c r="BM232" s="65"/>
      <c r="BN232" s="65"/>
      <c r="BO232" s="65"/>
      <c r="BP232" s="65"/>
      <c r="BQ232" s="65"/>
      <c r="BR232" s="65"/>
      <c r="BS232" s="65"/>
      <c r="BT232" s="65"/>
      <c r="BU232" s="65"/>
      <c r="BV232" s="65"/>
      <c r="BW232" s="65"/>
      <c r="BX232" s="65"/>
      <c r="BY232" s="65"/>
      <c r="BZ232" s="65"/>
      <c r="CA232" s="65"/>
      <c r="CB232" s="65"/>
      <c r="CC232" s="65"/>
      <c r="CD232" s="65"/>
      <c r="CE232" s="65"/>
      <c r="CF232" s="65"/>
      <c r="CG232" s="65"/>
      <c r="CH232" s="65"/>
      <c r="CI232" s="65"/>
      <c r="CJ232" s="65"/>
      <c r="CK232" s="65"/>
      <c r="CL232" s="65"/>
      <c r="CM232" s="65"/>
      <c r="CN232" s="65"/>
      <c r="CO232" s="65"/>
      <c r="CP232" s="65"/>
      <c r="CQ232" s="65"/>
      <c r="CR232" s="65"/>
      <c r="CS232" s="65"/>
      <c r="CT232" s="65"/>
      <c r="CU232" s="65"/>
      <c r="CV232" s="65"/>
      <c r="CW232" s="65"/>
      <c r="CX232" s="65"/>
      <c r="CY232" s="65"/>
      <c r="CZ232" s="65"/>
      <c r="DA232" s="65"/>
      <c r="DB232" s="65"/>
      <c r="DC232" s="65"/>
      <c r="DD232" s="65"/>
      <c r="DE232" s="65"/>
      <c r="DF232" s="65"/>
      <c r="DG232" s="65"/>
      <c r="DH232" s="65"/>
      <c r="DI232" s="65"/>
      <c r="DJ232" s="65"/>
      <c r="DK232" s="65"/>
      <c r="DL232" s="65"/>
      <c r="DM232" s="65"/>
      <c r="DN232" s="65"/>
      <c r="DO232" s="65"/>
      <c r="DP232" s="65"/>
      <c r="DQ232" s="65"/>
      <c r="DR232" s="65"/>
      <c r="DS232" s="65"/>
      <c r="DT232" s="65"/>
      <c r="DU232" s="65"/>
      <c r="DV232" s="65"/>
      <c r="DW232" s="65"/>
      <c r="DX232" s="65"/>
      <c r="DY232" s="65"/>
      <c r="DZ232" s="65"/>
      <c r="EA232" s="65"/>
      <c r="EB232" s="65"/>
      <c r="EC232" s="65"/>
      <c r="ED232" s="65"/>
      <c r="EE232" s="65"/>
      <c r="EF232" s="65"/>
      <c r="EG232" s="65"/>
      <c r="EH232" s="65"/>
      <c r="EI232" s="65"/>
      <c r="EJ232" s="65"/>
      <c r="EK232" s="65"/>
      <c r="EL232" s="65"/>
      <c r="EM232" s="65"/>
      <c r="EN232" s="65"/>
      <c r="EO232" s="65"/>
      <c r="EP232" s="65"/>
      <c r="EQ232" s="65"/>
      <c r="ER232" s="65"/>
      <c r="ES232" s="65"/>
      <c r="ET232" s="65"/>
      <c r="EU232" s="65"/>
      <c r="EV232" s="65"/>
      <c r="EW232" s="65"/>
      <c r="EX232" s="65"/>
      <c r="EY232" s="65"/>
      <c r="EZ232" s="65"/>
      <c r="FA232" s="65"/>
      <c r="FB232" s="65"/>
      <c r="FC232" s="65"/>
      <c r="FD232" s="65"/>
      <c r="FE232" s="65"/>
      <c r="FF232" s="65"/>
      <c r="FG232" s="65"/>
      <c r="FH232" s="65"/>
      <c r="FI232" s="65"/>
      <c r="FJ232" s="65"/>
      <c r="FK232" s="65"/>
      <c r="FL232" s="65"/>
      <c r="FM232" s="65"/>
      <c r="FN232" s="65"/>
      <c r="FO232" s="65"/>
      <c r="FP232" s="65"/>
      <c r="FQ232" s="65"/>
      <c r="FR232" s="65"/>
      <c r="FS232" s="65"/>
      <c r="FT232" s="65"/>
      <c r="FU232" s="65"/>
    </row>
    <row r="233" spans="10:177" s="1" customFormat="1"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65"/>
      <c r="X233" s="65"/>
      <c r="Y233" s="65"/>
      <c r="Z233" s="65"/>
      <c r="AA233" s="65"/>
      <c r="AB233" s="65"/>
      <c r="AC233" s="65"/>
      <c r="AD233" s="65"/>
      <c r="AE233" s="65"/>
      <c r="AF233" s="65"/>
      <c r="AG233" s="65"/>
      <c r="AH233" s="65"/>
      <c r="AI233" s="65"/>
      <c r="AJ233" s="65"/>
      <c r="AK233" s="65"/>
      <c r="AL233" s="65"/>
      <c r="AM233" s="65"/>
      <c r="AN233" s="65"/>
      <c r="AO233" s="65"/>
      <c r="AP233" s="65"/>
      <c r="AQ233" s="65"/>
      <c r="AR233" s="65"/>
      <c r="AS233" s="65"/>
      <c r="AT233" s="65"/>
      <c r="AU233" s="65"/>
      <c r="AV233" s="65"/>
      <c r="AW233" s="65"/>
      <c r="AX233" s="65"/>
      <c r="AY233" s="65"/>
      <c r="AZ233" s="65"/>
      <c r="BA233" s="65"/>
      <c r="BB233" s="65"/>
      <c r="BC233" s="65"/>
      <c r="BD233" s="65"/>
      <c r="BE233" s="65"/>
      <c r="BF233" s="65"/>
      <c r="BG233" s="65"/>
      <c r="BH233" s="65"/>
      <c r="BI233" s="65"/>
      <c r="BJ233" s="65"/>
      <c r="BK233" s="65"/>
      <c r="BL233" s="65"/>
      <c r="BM233" s="65"/>
      <c r="BN233" s="65"/>
      <c r="BO233" s="65"/>
      <c r="BP233" s="65"/>
      <c r="BQ233" s="65"/>
      <c r="BR233" s="65"/>
      <c r="BS233" s="65"/>
      <c r="BT233" s="65"/>
      <c r="BU233" s="65"/>
      <c r="BV233" s="65"/>
      <c r="BW233" s="65"/>
      <c r="BX233" s="65"/>
      <c r="BY233" s="65"/>
      <c r="BZ233" s="65"/>
      <c r="CA233" s="65"/>
      <c r="CB233" s="65"/>
      <c r="CC233" s="65"/>
      <c r="CD233" s="65"/>
      <c r="CE233" s="65"/>
      <c r="CF233" s="65"/>
      <c r="CG233" s="65"/>
      <c r="CH233" s="65"/>
      <c r="CI233" s="65"/>
      <c r="CJ233" s="65"/>
      <c r="CK233" s="65"/>
      <c r="CL233" s="65"/>
      <c r="CM233" s="65"/>
      <c r="CN233" s="65"/>
      <c r="CO233" s="65"/>
      <c r="CP233" s="65"/>
      <c r="CQ233" s="65"/>
      <c r="CR233" s="65"/>
      <c r="CS233" s="65"/>
      <c r="CT233" s="65"/>
      <c r="CU233" s="65"/>
      <c r="CV233" s="65"/>
      <c r="CW233" s="65"/>
      <c r="CX233" s="65"/>
      <c r="CY233" s="65"/>
      <c r="CZ233" s="65"/>
      <c r="DA233" s="65"/>
      <c r="DB233" s="65"/>
      <c r="DC233" s="65"/>
      <c r="DD233" s="65"/>
      <c r="DE233" s="65"/>
      <c r="DF233" s="65"/>
      <c r="DG233" s="65"/>
      <c r="DH233" s="65"/>
      <c r="DI233" s="65"/>
      <c r="DJ233" s="65"/>
      <c r="DK233" s="65"/>
      <c r="DL233" s="65"/>
      <c r="DM233" s="65"/>
      <c r="DN233" s="65"/>
      <c r="DO233" s="65"/>
      <c r="DP233" s="65"/>
      <c r="DQ233" s="65"/>
      <c r="DR233" s="65"/>
      <c r="DS233" s="65"/>
      <c r="DT233" s="65"/>
      <c r="DU233" s="65"/>
      <c r="DV233" s="65"/>
      <c r="DW233" s="65"/>
      <c r="DX233" s="65"/>
      <c r="DY233" s="65"/>
      <c r="DZ233" s="65"/>
      <c r="EA233" s="65"/>
      <c r="EB233" s="65"/>
      <c r="EC233" s="65"/>
      <c r="ED233" s="65"/>
      <c r="EE233" s="65"/>
      <c r="EF233" s="65"/>
      <c r="EG233" s="65"/>
      <c r="EH233" s="65"/>
      <c r="EI233" s="65"/>
      <c r="EJ233" s="65"/>
      <c r="EK233" s="65"/>
      <c r="EL233" s="65"/>
      <c r="EM233" s="65"/>
      <c r="EN233" s="65"/>
      <c r="EO233" s="65"/>
      <c r="EP233" s="65"/>
      <c r="EQ233" s="65"/>
      <c r="ER233" s="65"/>
      <c r="ES233" s="65"/>
      <c r="ET233" s="65"/>
      <c r="EU233" s="65"/>
      <c r="EV233" s="65"/>
      <c r="EW233" s="65"/>
      <c r="EX233" s="65"/>
      <c r="EY233" s="65"/>
      <c r="EZ233" s="65"/>
      <c r="FA233" s="65"/>
      <c r="FB233" s="65"/>
      <c r="FC233" s="65"/>
      <c r="FD233" s="65"/>
      <c r="FE233" s="65"/>
      <c r="FF233" s="65"/>
      <c r="FG233" s="65"/>
      <c r="FH233" s="65"/>
      <c r="FI233" s="65"/>
      <c r="FJ233" s="65"/>
      <c r="FK233" s="65"/>
      <c r="FL233" s="65"/>
      <c r="FM233" s="65"/>
      <c r="FN233" s="65"/>
      <c r="FO233" s="65"/>
      <c r="FP233" s="65"/>
      <c r="FQ233" s="65"/>
      <c r="FR233" s="65"/>
      <c r="FS233" s="65"/>
      <c r="FT233" s="65"/>
      <c r="FU233" s="65"/>
    </row>
    <row r="234" spans="10:177" s="1" customFormat="1"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/>
      <c r="Z234" s="65"/>
      <c r="AA234" s="65"/>
      <c r="AB234" s="65"/>
      <c r="AC234" s="65"/>
      <c r="AD234" s="65"/>
      <c r="AE234" s="65"/>
      <c r="AF234" s="65"/>
      <c r="AG234" s="65"/>
      <c r="AH234" s="65"/>
      <c r="AI234" s="65"/>
      <c r="AJ234" s="65"/>
      <c r="AK234" s="65"/>
      <c r="AL234" s="65"/>
      <c r="AM234" s="65"/>
      <c r="AN234" s="65"/>
      <c r="AO234" s="65"/>
      <c r="AP234" s="65"/>
      <c r="AQ234" s="65"/>
      <c r="AR234" s="65"/>
      <c r="AS234" s="65"/>
      <c r="AT234" s="65"/>
      <c r="AU234" s="65"/>
      <c r="AV234" s="65"/>
      <c r="AW234" s="65"/>
      <c r="AX234" s="65"/>
      <c r="AY234" s="65"/>
      <c r="AZ234" s="65"/>
      <c r="BA234" s="65"/>
      <c r="BB234" s="65"/>
      <c r="BC234" s="65"/>
      <c r="BD234" s="65"/>
      <c r="BE234" s="65"/>
      <c r="BF234" s="65"/>
      <c r="BG234" s="65"/>
      <c r="BH234" s="65"/>
      <c r="BI234" s="65"/>
      <c r="BJ234" s="65"/>
      <c r="BK234" s="65"/>
      <c r="BL234" s="65"/>
      <c r="BM234" s="65"/>
      <c r="BN234" s="65"/>
      <c r="BO234" s="65"/>
      <c r="BP234" s="65"/>
      <c r="BQ234" s="65"/>
      <c r="BR234" s="65"/>
      <c r="BS234" s="65"/>
      <c r="BT234" s="65"/>
      <c r="BU234" s="65"/>
      <c r="BV234" s="65"/>
      <c r="BW234" s="65"/>
      <c r="BX234" s="65"/>
      <c r="BY234" s="65"/>
      <c r="BZ234" s="65"/>
      <c r="CA234" s="65"/>
      <c r="CB234" s="65"/>
      <c r="CC234" s="65"/>
      <c r="CD234" s="65"/>
      <c r="CE234" s="65"/>
      <c r="CF234" s="65"/>
      <c r="CG234" s="65"/>
      <c r="CH234" s="65"/>
      <c r="CI234" s="65"/>
      <c r="CJ234" s="65"/>
      <c r="CK234" s="65"/>
      <c r="CL234" s="65"/>
      <c r="CM234" s="65"/>
      <c r="CN234" s="65"/>
      <c r="CO234" s="65"/>
      <c r="CP234" s="65"/>
      <c r="CQ234" s="65"/>
      <c r="CR234" s="65"/>
      <c r="CS234" s="65"/>
      <c r="CT234" s="65"/>
      <c r="CU234" s="65"/>
      <c r="CV234" s="65"/>
      <c r="CW234" s="65"/>
      <c r="CX234" s="65"/>
      <c r="CY234" s="65"/>
      <c r="CZ234" s="65"/>
      <c r="DA234" s="65"/>
      <c r="DB234" s="65"/>
      <c r="DC234" s="65"/>
      <c r="DD234" s="65"/>
      <c r="DE234" s="65"/>
      <c r="DF234" s="65"/>
      <c r="DG234" s="65"/>
      <c r="DH234" s="65"/>
      <c r="DI234" s="65"/>
      <c r="DJ234" s="65"/>
      <c r="DK234" s="65"/>
      <c r="DL234" s="65"/>
      <c r="DM234" s="65"/>
      <c r="DN234" s="65"/>
      <c r="DO234" s="65"/>
      <c r="DP234" s="65"/>
      <c r="DQ234" s="65"/>
      <c r="DR234" s="65"/>
      <c r="DS234" s="65"/>
      <c r="DT234" s="65"/>
      <c r="DU234" s="65"/>
      <c r="DV234" s="65"/>
      <c r="DW234" s="65"/>
      <c r="DX234" s="65"/>
      <c r="DY234" s="65"/>
      <c r="DZ234" s="65"/>
      <c r="EA234" s="65"/>
      <c r="EB234" s="65"/>
      <c r="EC234" s="65"/>
      <c r="ED234" s="65"/>
      <c r="EE234" s="65"/>
      <c r="EF234" s="65"/>
      <c r="EG234" s="65"/>
      <c r="EH234" s="65"/>
      <c r="EI234" s="65"/>
      <c r="EJ234" s="65"/>
      <c r="EK234" s="65"/>
      <c r="EL234" s="65"/>
      <c r="EM234" s="65"/>
      <c r="EN234" s="65"/>
      <c r="EO234" s="65"/>
      <c r="EP234" s="65"/>
      <c r="EQ234" s="65"/>
      <c r="ER234" s="65"/>
      <c r="ES234" s="65"/>
      <c r="ET234" s="65"/>
      <c r="EU234" s="65"/>
      <c r="EV234" s="65"/>
      <c r="EW234" s="65"/>
      <c r="EX234" s="65"/>
      <c r="EY234" s="65"/>
      <c r="EZ234" s="65"/>
      <c r="FA234" s="65"/>
      <c r="FB234" s="65"/>
      <c r="FC234" s="65"/>
      <c r="FD234" s="65"/>
      <c r="FE234" s="65"/>
      <c r="FF234" s="65"/>
      <c r="FG234" s="65"/>
      <c r="FH234" s="65"/>
      <c r="FI234" s="65"/>
      <c r="FJ234" s="65"/>
      <c r="FK234" s="65"/>
      <c r="FL234" s="65"/>
      <c r="FM234" s="65"/>
      <c r="FN234" s="65"/>
      <c r="FO234" s="65"/>
      <c r="FP234" s="65"/>
      <c r="FQ234" s="65"/>
      <c r="FR234" s="65"/>
      <c r="FS234" s="65"/>
      <c r="FT234" s="65"/>
      <c r="FU234" s="65"/>
    </row>
    <row r="235" spans="10:177" s="1" customFormat="1"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65"/>
      <c r="AA235" s="65"/>
      <c r="AB235" s="65"/>
      <c r="AC235" s="65"/>
      <c r="AD235" s="65"/>
      <c r="AE235" s="65"/>
      <c r="AF235" s="65"/>
      <c r="AG235" s="65"/>
      <c r="AH235" s="65"/>
      <c r="AI235" s="65"/>
      <c r="AJ235" s="65"/>
      <c r="AK235" s="65"/>
      <c r="AL235" s="65"/>
      <c r="AM235" s="65"/>
      <c r="AN235" s="65"/>
      <c r="AO235" s="65"/>
      <c r="AP235" s="65"/>
      <c r="AQ235" s="65"/>
      <c r="AR235" s="65"/>
      <c r="AS235" s="65"/>
      <c r="AT235" s="65"/>
      <c r="AU235" s="65"/>
      <c r="AV235" s="65"/>
      <c r="AW235" s="65"/>
      <c r="AX235" s="65"/>
      <c r="AY235" s="65"/>
      <c r="AZ235" s="65"/>
      <c r="BA235" s="65"/>
      <c r="BB235" s="65"/>
      <c r="BC235" s="65"/>
      <c r="BD235" s="65"/>
      <c r="BE235" s="65"/>
      <c r="BF235" s="65"/>
      <c r="BG235" s="65"/>
      <c r="BH235" s="65"/>
      <c r="BI235" s="65"/>
      <c r="BJ235" s="65"/>
      <c r="BK235" s="65"/>
      <c r="BL235" s="65"/>
      <c r="BM235" s="65"/>
      <c r="BN235" s="65"/>
      <c r="BO235" s="65"/>
      <c r="BP235" s="65"/>
      <c r="BQ235" s="65"/>
      <c r="BR235" s="65"/>
      <c r="BS235" s="65"/>
      <c r="BT235" s="65"/>
      <c r="BU235" s="65"/>
      <c r="BV235" s="65"/>
      <c r="BW235" s="65"/>
      <c r="BX235" s="65"/>
      <c r="BY235" s="65"/>
      <c r="BZ235" s="65"/>
      <c r="CA235" s="65"/>
      <c r="CB235" s="65"/>
      <c r="CC235" s="65"/>
      <c r="CD235" s="65"/>
      <c r="CE235" s="65"/>
      <c r="CF235" s="65"/>
      <c r="CG235" s="65"/>
      <c r="CH235" s="65"/>
      <c r="CI235" s="65"/>
      <c r="CJ235" s="65"/>
      <c r="CK235" s="65"/>
      <c r="CL235" s="65"/>
      <c r="CM235" s="65"/>
      <c r="CN235" s="65"/>
      <c r="CO235" s="65"/>
      <c r="CP235" s="65"/>
      <c r="CQ235" s="65"/>
      <c r="CR235" s="65"/>
      <c r="CS235" s="65"/>
      <c r="CT235" s="65"/>
      <c r="CU235" s="65"/>
      <c r="CV235" s="65"/>
      <c r="CW235" s="65"/>
      <c r="CX235" s="65"/>
      <c r="CY235" s="65"/>
      <c r="CZ235" s="65"/>
      <c r="DA235" s="65"/>
      <c r="DB235" s="65"/>
      <c r="DC235" s="65"/>
      <c r="DD235" s="65"/>
      <c r="DE235" s="65"/>
      <c r="DF235" s="65"/>
      <c r="DG235" s="65"/>
      <c r="DH235" s="65"/>
      <c r="DI235" s="65"/>
      <c r="DJ235" s="65"/>
      <c r="DK235" s="65"/>
      <c r="DL235" s="65"/>
      <c r="DM235" s="65"/>
      <c r="DN235" s="65"/>
      <c r="DO235" s="65"/>
      <c r="DP235" s="65"/>
      <c r="DQ235" s="65"/>
      <c r="DR235" s="65"/>
      <c r="DS235" s="65"/>
      <c r="DT235" s="65"/>
      <c r="DU235" s="65"/>
      <c r="DV235" s="65"/>
      <c r="DW235" s="65"/>
      <c r="DX235" s="65"/>
      <c r="DY235" s="65"/>
      <c r="DZ235" s="65"/>
      <c r="EA235" s="65"/>
      <c r="EB235" s="65"/>
      <c r="EC235" s="65"/>
      <c r="ED235" s="65"/>
      <c r="EE235" s="65"/>
      <c r="EF235" s="65"/>
      <c r="EG235" s="65"/>
      <c r="EH235" s="65"/>
      <c r="EI235" s="65"/>
      <c r="EJ235" s="65"/>
      <c r="EK235" s="65"/>
      <c r="EL235" s="65"/>
      <c r="EM235" s="65"/>
      <c r="EN235" s="65"/>
      <c r="EO235" s="65"/>
      <c r="EP235" s="65"/>
      <c r="EQ235" s="65"/>
      <c r="ER235" s="65"/>
      <c r="ES235" s="65"/>
      <c r="ET235" s="65"/>
      <c r="EU235" s="65"/>
      <c r="EV235" s="65"/>
      <c r="EW235" s="65"/>
      <c r="EX235" s="65"/>
      <c r="EY235" s="65"/>
      <c r="EZ235" s="65"/>
      <c r="FA235" s="65"/>
      <c r="FB235" s="65"/>
      <c r="FC235" s="65"/>
      <c r="FD235" s="65"/>
      <c r="FE235" s="65"/>
      <c r="FF235" s="65"/>
      <c r="FG235" s="65"/>
      <c r="FH235" s="65"/>
      <c r="FI235" s="65"/>
      <c r="FJ235" s="65"/>
      <c r="FK235" s="65"/>
      <c r="FL235" s="65"/>
      <c r="FM235" s="65"/>
      <c r="FN235" s="65"/>
      <c r="FO235" s="65"/>
      <c r="FP235" s="65"/>
      <c r="FQ235" s="65"/>
      <c r="FR235" s="65"/>
      <c r="FS235" s="65"/>
      <c r="FT235" s="65"/>
      <c r="FU235" s="65"/>
    </row>
    <row r="236" spans="10:177" s="1" customFormat="1"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  <c r="Z236" s="65"/>
      <c r="AA236" s="65"/>
      <c r="AB236" s="65"/>
      <c r="AC236" s="65"/>
      <c r="AD236" s="65"/>
      <c r="AE236" s="65"/>
      <c r="AF236" s="65"/>
      <c r="AG236" s="65"/>
      <c r="AH236" s="65"/>
      <c r="AI236" s="65"/>
      <c r="AJ236" s="65"/>
      <c r="AK236" s="65"/>
      <c r="AL236" s="65"/>
      <c r="AM236" s="65"/>
      <c r="AN236" s="65"/>
      <c r="AO236" s="65"/>
      <c r="AP236" s="65"/>
      <c r="AQ236" s="65"/>
      <c r="AR236" s="65"/>
      <c r="AS236" s="65"/>
      <c r="AT236" s="65"/>
      <c r="AU236" s="65"/>
      <c r="AV236" s="65"/>
      <c r="AW236" s="65"/>
      <c r="AX236" s="65"/>
      <c r="AY236" s="65"/>
      <c r="AZ236" s="65"/>
      <c r="BA236" s="65"/>
      <c r="BB236" s="65"/>
      <c r="BC236" s="65"/>
      <c r="BD236" s="65"/>
      <c r="BE236" s="65"/>
      <c r="BF236" s="65"/>
      <c r="BG236" s="65"/>
      <c r="BH236" s="65"/>
      <c r="BI236" s="65"/>
      <c r="BJ236" s="65"/>
      <c r="BK236" s="65"/>
      <c r="BL236" s="65"/>
      <c r="BM236" s="65"/>
      <c r="BN236" s="65"/>
      <c r="BO236" s="65"/>
      <c r="BP236" s="65"/>
      <c r="BQ236" s="65"/>
      <c r="BR236" s="65"/>
      <c r="BS236" s="65"/>
      <c r="BT236" s="65"/>
      <c r="BU236" s="65"/>
      <c r="BV236" s="65"/>
      <c r="BW236" s="65"/>
      <c r="BX236" s="65"/>
      <c r="BY236" s="65"/>
      <c r="BZ236" s="65"/>
      <c r="CA236" s="65"/>
      <c r="CB236" s="65"/>
      <c r="CC236" s="65"/>
      <c r="CD236" s="65"/>
      <c r="CE236" s="65"/>
      <c r="CF236" s="65"/>
      <c r="CG236" s="65"/>
      <c r="CH236" s="65"/>
      <c r="CI236" s="65"/>
      <c r="CJ236" s="65"/>
      <c r="CK236" s="65"/>
      <c r="CL236" s="65"/>
      <c r="CM236" s="65"/>
      <c r="CN236" s="65"/>
      <c r="CO236" s="65"/>
      <c r="CP236" s="65"/>
      <c r="CQ236" s="65"/>
      <c r="CR236" s="65"/>
      <c r="CS236" s="65"/>
      <c r="CT236" s="65"/>
      <c r="CU236" s="65"/>
      <c r="CV236" s="65"/>
      <c r="CW236" s="65"/>
      <c r="CX236" s="65"/>
      <c r="CY236" s="65"/>
      <c r="CZ236" s="65"/>
      <c r="DA236" s="65"/>
      <c r="DB236" s="65"/>
      <c r="DC236" s="65"/>
      <c r="DD236" s="65"/>
      <c r="DE236" s="65"/>
      <c r="DF236" s="65"/>
      <c r="DG236" s="65"/>
      <c r="DH236" s="65"/>
      <c r="DI236" s="65"/>
      <c r="DJ236" s="65"/>
      <c r="DK236" s="65"/>
      <c r="DL236" s="65"/>
      <c r="DM236" s="65"/>
      <c r="DN236" s="65"/>
      <c r="DO236" s="65"/>
      <c r="DP236" s="65"/>
      <c r="DQ236" s="65"/>
      <c r="DR236" s="65"/>
      <c r="DS236" s="65"/>
      <c r="DT236" s="65"/>
      <c r="DU236" s="65"/>
      <c r="DV236" s="65"/>
      <c r="DW236" s="65"/>
      <c r="DX236" s="65"/>
      <c r="DY236" s="65"/>
      <c r="DZ236" s="65"/>
      <c r="EA236" s="65"/>
      <c r="EB236" s="65"/>
      <c r="EC236" s="65"/>
      <c r="ED236" s="65"/>
      <c r="EE236" s="65"/>
      <c r="EF236" s="65"/>
      <c r="EG236" s="65"/>
      <c r="EH236" s="65"/>
      <c r="EI236" s="65"/>
      <c r="EJ236" s="65"/>
      <c r="EK236" s="65"/>
      <c r="EL236" s="65"/>
      <c r="EM236" s="65"/>
      <c r="EN236" s="65"/>
      <c r="EO236" s="65"/>
      <c r="EP236" s="65"/>
      <c r="EQ236" s="65"/>
      <c r="ER236" s="65"/>
      <c r="ES236" s="65"/>
      <c r="ET236" s="65"/>
      <c r="EU236" s="65"/>
      <c r="EV236" s="65"/>
      <c r="EW236" s="65"/>
      <c r="EX236" s="65"/>
      <c r="EY236" s="65"/>
      <c r="EZ236" s="65"/>
      <c r="FA236" s="65"/>
      <c r="FB236" s="65"/>
      <c r="FC236" s="65"/>
      <c r="FD236" s="65"/>
      <c r="FE236" s="65"/>
      <c r="FF236" s="65"/>
      <c r="FG236" s="65"/>
      <c r="FH236" s="65"/>
      <c r="FI236" s="65"/>
      <c r="FJ236" s="65"/>
      <c r="FK236" s="65"/>
      <c r="FL236" s="65"/>
      <c r="FM236" s="65"/>
      <c r="FN236" s="65"/>
      <c r="FO236" s="65"/>
      <c r="FP236" s="65"/>
      <c r="FQ236" s="65"/>
      <c r="FR236" s="65"/>
      <c r="FS236" s="65"/>
      <c r="FT236" s="65"/>
      <c r="FU236" s="65"/>
    </row>
    <row r="237" spans="10:177" s="1" customFormat="1"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5"/>
      <c r="Z237" s="65"/>
      <c r="AA237" s="65"/>
      <c r="AB237" s="65"/>
      <c r="AC237" s="65"/>
      <c r="AD237" s="65"/>
      <c r="AE237" s="65"/>
      <c r="AF237" s="65"/>
      <c r="AG237" s="65"/>
      <c r="AH237" s="65"/>
      <c r="AI237" s="65"/>
      <c r="AJ237" s="65"/>
      <c r="AK237" s="65"/>
      <c r="AL237" s="65"/>
      <c r="AM237" s="65"/>
      <c r="AN237" s="65"/>
      <c r="AO237" s="65"/>
      <c r="AP237" s="65"/>
      <c r="AQ237" s="65"/>
      <c r="AR237" s="65"/>
      <c r="AS237" s="65"/>
      <c r="AT237" s="65"/>
      <c r="AU237" s="65"/>
      <c r="AV237" s="65"/>
      <c r="AW237" s="65"/>
      <c r="AX237" s="65"/>
      <c r="AY237" s="65"/>
      <c r="AZ237" s="65"/>
      <c r="BA237" s="65"/>
      <c r="BB237" s="65"/>
      <c r="BC237" s="65"/>
      <c r="BD237" s="65"/>
      <c r="BE237" s="65"/>
      <c r="BF237" s="65"/>
      <c r="BG237" s="65"/>
      <c r="BH237" s="65"/>
      <c r="BI237" s="65"/>
      <c r="BJ237" s="65"/>
      <c r="BK237" s="65"/>
      <c r="BL237" s="65"/>
      <c r="BM237" s="65"/>
      <c r="BN237" s="65"/>
      <c r="BO237" s="65"/>
      <c r="BP237" s="65"/>
      <c r="BQ237" s="65"/>
      <c r="BR237" s="65"/>
      <c r="BS237" s="65"/>
      <c r="BT237" s="65"/>
      <c r="BU237" s="65"/>
      <c r="BV237" s="65"/>
      <c r="BW237" s="65"/>
      <c r="BX237" s="65"/>
      <c r="BY237" s="65"/>
      <c r="BZ237" s="65"/>
      <c r="CA237" s="65"/>
      <c r="CB237" s="65"/>
      <c r="CC237" s="65"/>
      <c r="CD237" s="65"/>
      <c r="CE237" s="65"/>
      <c r="CF237" s="65"/>
      <c r="CG237" s="65"/>
      <c r="CH237" s="65"/>
      <c r="CI237" s="65"/>
      <c r="CJ237" s="65"/>
      <c r="CK237" s="65"/>
      <c r="CL237" s="65"/>
      <c r="CM237" s="65"/>
      <c r="CN237" s="65"/>
      <c r="CO237" s="65"/>
      <c r="CP237" s="65"/>
      <c r="CQ237" s="65"/>
      <c r="CR237" s="65"/>
      <c r="CS237" s="65"/>
      <c r="CT237" s="65"/>
      <c r="CU237" s="65"/>
      <c r="CV237" s="65"/>
      <c r="CW237" s="65"/>
      <c r="CX237" s="65"/>
      <c r="CY237" s="65"/>
      <c r="CZ237" s="65"/>
      <c r="DA237" s="65"/>
      <c r="DB237" s="65"/>
      <c r="DC237" s="65"/>
      <c r="DD237" s="65"/>
      <c r="DE237" s="65"/>
      <c r="DF237" s="65"/>
      <c r="DG237" s="65"/>
      <c r="DH237" s="65"/>
      <c r="DI237" s="65"/>
      <c r="DJ237" s="65"/>
      <c r="DK237" s="65"/>
      <c r="DL237" s="65"/>
      <c r="DM237" s="65"/>
      <c r="DN237" s="65"/>
      <c r="DO237" s="65"/>
      <c r="DP237" s="65"/>
      <c r="DQ237" s="65"/>
      <c r="DR237" s="65"/>
      <c r="DS237" s="65"/>
      <c r="DT237" s="65"/>
      <c r="DU237" s="65"/>
      <c r="DV237" s="65"/>
      <c r="DW237" s="65"/>
      <c r="DX237" s="65"/>
      <c r="DY237" s="65"/>
      <c r="DZ237" s="65"/>
      <c r="EA237" s="65"/>
      <c r="EB237" s="65"/>
      <c r="EC237" s="65"/>
      <c r="ED237" s="65"/>
      <c r="EE237" s="65"/>
      <c r="EF237" s="65"/>
      <c r="EG237" s="65"/>
      <c r="EH237" s="65"/>
      <c r="EI237" s="65"/>
      <c r="EJ237" s="65"/>
      <c r="EK237" s="65"/>
      <c r="EL237" s="65"/>
      <c r="EM237" s="65"/>
      <c r="EN237" s="65"/>
      <c r="EO237" s="65"/>
      <c r="EP237" s="65"/>
      <c r="EQ237" s="65"/>
      <c r="ER237" s="65"/>
      <c r="ES237" s="65"/>
      <c r="ET237" s="65"/>
      <c r="EU237" s="65"/>
      <c r="EV237" s="65"/>
      <c r="EW237" s="65"/>
      <c r="EX237" s="65"/>
      <c r="EY237" s="65"/>
      <c r="EZ237" s="65"/>
      <c r="FA237" s="65"/>
      <c r="FB237" s="65"/>
      <c r="FC237" s="65"/>
      <c r="FD237" s="65"/>
      <c r="FE237" s="65"/>
      <c r="FF237" s="65"/>
      <c r="FG237" s="65"/>
      <c r="FH237" s="65"/>
      <c r="FI237" s="65"/>
      <c r="FJ237" s="65"/>
      <c r="FK237" s="65"/>
      <c r="FL237" s="65"/>
      <c r="FM237" s="65"/>
      <c r="FN237" s="65"/>
      <c r="FO237" s="65"/>
      <c r="FP237" s="65"/>
      <c r="FQ237" s="65"/>
      <c r="FR237" s="65"/>
      <c r="FS237" s="65"/>
      <c r="FT237" s="65"/>
      <c r="FU237" s="65"/>
    </row>
    <row r="238" spans="10:177" s="1" customFormat="1"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65"/>
      <c r="AA238" s="65"/>
      <c r="AB238" s="65"/>
      <c r="AC238" s="65"/>
      <c r="AD238" s="65"/>
      <c r="AE238" s="65"/>
      <c r="AF238" s="65"/>
      <c r="AG238" s="65"/>
      <c r="AH238" s="65"/>
      <c r="AI238" s="65"/>
      <c r="AJ238" s="65"/>
      <c r="AK238" s="65"/>
      <c r="AL238" s="65"/>
      <c r="AM238" s="65"/>
      <c r="AN238" s="65"/>
      <c r="AO238" s="65"/>
      <c r="AP238" s="65"/>
      <c r="AQ238" s="65"/>
      <c r="AR238" s="65"/>
      <c r="AS238" s="65"/>
      <c r="AT238" s="65"/>
      <c r="AU238" s="65"/>
      <c r="AV238" s="65"/>
      <c r="AW238" s="65"/>
      <c r="AX238" s="65"/>
      <c r="AY238" s="65"/>
      <c r="AZ238" s="65"/>
      <c r="BA238" s="65"/>
      <c r="BB238" s="65"/>
      <c r="BC238" s="65"/>
      <c r="BD238" s="65"/>
      <c r="BE238" s="65"/>
      <c r="BF238" s="65"/>
      <c r="BG238" s="65"/>
      <c r="BH238" s="65"/>
      <c r="BI238" s="65"/>
      <c r="BJ238" s="65"/>
      <c r="BK238" s="65"/>
      <c r="BL238" s="65"/>
      <c r="BM238" s="65"/>
      <c r="BN238" s="65"/>
      <c r="BO238" s="65"/>
      <c r="BP238" s="65"/>
      <c r="BQ238" s="65"/>
      <c r="BR238" s="65"/>
      <c r="BS238" s="65"/>
      <c r="BT238" s="65"/>
      <c r="BU238" s="65"/>
      <c r="BV238" s="65"/>
      <c r="BW238" s="65"/>
      <c r="BX238" s="65"/>
      <c r="BY238" s="65"/>
      <c r="BZ238" s="65"/>
      <c r="CA238" s="65"/>
      <c r="CB238" s="65"/>
      <c r="CC238" s="65"/>
      <c r="CD238" s="65"/>
      <c r="CE238" s="65"/>
      <c r="CF238" s="65"/>
      <c r="CG238" s="65"/>
      <c r="CH238" s="65"/>
      <c r="CI238" s="65"/>
      <c r="CJ238" s="65"/>
      <c r="CK238" s="65"/>
      <c r="CL238" s="65"/>
      <c r="CM238" s="65"/>
      <c r="CN238" s="65"/>
      <c r="CO238" s="65"/>
      <c r="CP238" s="65"/>
      <c r="CQ238" s="65"/>
      <c r="CR238" s="65"/>
      <c r="CS238" s="65"/>
      <c r="CT238" s="65"/>
      <c r="CU238" s="65"/>
      <c r="CV238" s="65"/>
      <c r="CW238" s="65"/>
      <c r="CX238" s="65"/>
      <c r="CY238" s="65"/>
      <c r="CZ238" s="65"/>
      <c r="DA238" s="65"/>
      <c r="DB238" s="65"/>
      <c r="DC238" s="65"/>
      <c r="DD238" s="65"/>
      <c r="DE238" s="65"/>
      <c r="DF238" s="65"/>
      <c r="DG238" s="65"/>
      <c r="DH238" s="65"/>
      <c r="DI238" s="65"/>
      <c r="DJ238" s="65"/>
      <c r="DK238" s="65"/>
      <c r="DL238" s="65"/>
      <c r="DM238" s="65"/>
      <c r="DN238" s="65"/>
      <c r="DO238" s="65"/>
      <c r="DP238" s="65"/>
      <c r="DQ238" s="65"/>
      <c r="DR238" s="65"/>
      <c r="DS238" s="65"/>
      <c r="DT238" s="65"/>
      <c r="DU238" s="65"/>
      <c r="DV238" s="65"/>
      <c r="DW238" s="65"/>
      <c r="DX238" s="65"/>
      <c r="DY238" s="65"/>
      <c r="DZ238" s="65"/>
      <c r="EA238" s="65"/>
      <c r="EB238" s="65"/>
      <c r="EC238" s="65"/>
      <c r="ED238" s="65"/>
      <c r="EE238" s="65"/>
      <c r="EF238" s="65"/>
      <c r="EG238" s="65"/>
      <c r="EH238" s="65"/>
      <c r="EI238" s="65"/>
      <c r="EJ238" s="65"/>
      <c r="EK238" s="65"/>
      <c r="EL238" s="65"/>
      <c r="EM238" s="65"/>
      <c r="EN238" s="65"/>
      <c r="EO238" s="65"/>
      <c r="EP238" s="65"/>
      <c r="EQ238" s="65"/>
      <c r="ER238" s="65"/>
      <c r="ES238" s="65"/>
      <c r="ET238" s="65"/>
      <c r="EU238" s="65"/>
      <c r="EV238" s="65"/>
      <c r="EW238" s="65"/>
      <c r="EX238" s="65"/>
      <c r="EY238" s="65"/>
      <c r="EZ238" s="65"/>
      <c r="FA238" s="65"/>
      <c r="FB238" s="65"/>
      <c r="FC238" s="65"/>
      <c r="FD238" s="65"/>
      <c r="FE238" s="65"/>
      <c r="FF238" s="65"/>
      <c r="FG238" s="65"/>
      <c r="FH238" s="65"/>
      <c r="FI238" s="65"/>
      <c r="FJ238" s="65"/>
      <c r="FK238" s="65"/>
      <c r="FL238" s="65"/>
      <c r="FM238" s="65"/>
      <c r="FN238" s="65"/>
      <c r="FO238" s="65"/>
      <c r="FP238" s="65"/>
      <c r="FQ238" s="65"/>
      <c r="FR238" s="65"/>
      <c r="FS238" s="65"/>
      <c r="FT238" s="65"/>
      <c r="FU238" s="65"/>
    </row>
    <row r="239" spans="10:177" s="1" customFormat="1"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65"/>
      <c r="AA239" s="65"/>
      <c r="AB239" s="65"/>
      <c r="AC239" s="65"/>
      <c r="AD239" s="65"/>
      <c r="AE239" s="65"/>
      <c r="AF239" s="65"/>
      <c r="AG239" s="65"/>
      <c r="AH239" s="65"/>
      <c r="AI239" s="65"/>
      <c r="AJ239" s="65"/>
      <c r="AK239" s="65"/>
      <c r="AL239" s="65"/>
      <c r="AM239" s="65"/>
      <c r="AN239" s="65"/>
      <c r="AO239" s="65"/>
      <c r="AP239" s="65"/>
      <c r="AQ239" s="65"/>
      <c r="AR239" s="65"/>
      <c r="AS239" s="65"/>
      <c r="AT239" s="65"/>
      <c r="AU239" s="65"/>
      <c r="AV239" s="65"/>
      <c r="AW239" s="65"/>
      <c r="AX239" s="65"/>
      <c r="AY239" s="65"/>
      <c r="AZ239" s="65"/>
      <c r="BA239" s="65"/>
      <c r="BB239" s="65"/>
      <c r="BC239" s="65"/>
      <c r="BD239" s="65"/>
      <c r="BE239" s="65"/>
      <c r="BF239" s="65"/>
      <c r="BG239" s="65"/>
      <c r="BH239" s="65"/>
      <c r="BI239" s="65"/>
      <c r="BJ239" s="65"/>
      <c r="BK239" s="65"/>
      <c r="BL239" s="65"/>
      <c r="BM239" s="65"/>
      <c r="BN239" s="65"/>
      <c r="BO239" s="65"/>
      <c r="BP239" s="65"/>
      <c r="BQ239" s="65"/>
      <c r="BR239" s="65"/>
      <c r="BS239" s="65"/>
      <c r="BT239" s="65"/>
      <c r="BU239" s="65"/>
      <c r="BV239" s="65"/>
      <c r="BW239" s="65"/>
      <c r="BX239" s="65"/>
      <c r="BY239" s="65"/>
      <c r="BZ239" s="65"/>
      <c r="CA239" s="65"/>
      <c r="CB239" s="65"/>
      <c r="CC239" s="65"/>
      <c r="CD239" s="65"/>
      <c r="CE239" s="65"/>
      <c r="CF239" s="65"/>
      <c r="CG239" s="65"/>
      <c r="CH239" s="65"/>
      <c r="CI239" s="65"/>
      <c r="CJ239" s="65"/>
      <c r="CK239" s="65"/>
      <c r="CL239" s="65"/>
      <c r="CM239" s="65"/>
      <c r="CN239" s="65"/>
      <c r="CO239" s="65"/>
      <c r="CP239" s="65"/>
      <c r="CQ239" s="65"/>
      <c r="CR239" s="65"/>
      <c r="CS239" s="65"/>
      <c r="CT239" s="65"/>
      <c r="CU239" s="65"/>
      <c r="CV239" s="65"/>
      <c r="CW239" s="65"/>
      <c r="CX239" s="65"/>
      <c r="CY239" s="65"/>
      <c r="CZ239" s="65"/>
      <c r="DA239" s="65"/>
      <c r="DB239" s="65"/>
      <c r="DC239" s="65"/>
      <c r="DD239" s="65"/>
      <c r="DE239" s="65"/>
      <c r="DF239" s="65"/>
      <c r="DG239" s="65"/>
      <c r="DH239" s="65"/>
      <c r="DI239" s="65"/>
      <c r="DJ239" s="65"/>
      <c r="DK239" s="65"/>
      <c r="DL239" s="65"/>
      <c r="DM239" s="65"/>
      <c r="DN239" s="65"/>
      <c r="DO239" s="65"/>
      <c r="DP239" s="65"/>
      <c r="DQ239" s="65"/>
      <c r="DR239" s="65"/>
      <c r="DS239" s="65"/>
      <c r="DT239" s="65"/>
      <c r="DU239" s="65"/>
      <c r="DV239" s="65"/>
      <c r="DW239" s="65"/>
      <c r="DX239" s="65"/>
      <c r="DY239" s="65"/>
      <c r="DZ239" s="65"/>
      <c r="EA239" s="65"/>
      <c r="EB239" s="65"/>
      <c r="EC239" s="65"/>
      <c r="ED239" s="65"/>
      <c r="EE239" s="65"/>
      <c r="EF239" s="65"/>
      <c r="EG239" s="65"/>
      <c r="EH239" s="65"/>
      <c r="EI239" s="65"/>
      <c r="EJ239" s="65"/>
      <c r="EK239" s="65"/>
      <c r="EL239" s="65"/>
      <c r="EM239" s="65"/>
      <c r="EN239" s="65"/>
      <c r="EO239" s="65"/>
      <c r="EP239" s="65"/>
      <c r="EQ239" s="65"/>
      <c r="ER239" s="65"/>
      <c r="ES239" s="65"/>
      <c r="ET239" s="65"/>
      <c r="EU239" s="65"/>
      <c r="EV239" s="65"/>
      <c r="EW239" s="65"/>
      <c r="EX239" s="65"/>
      <c r="EY239" s="65"/>
      <c r="EZ239" s="65"/>
      <c r="FA239" s="65"/>
      <c r="FB239" s="65"/>
      <c r="FC239" s="65"/>
      <c r="FD239" s="65"/>
      <c r="FE239" s="65"/>
      <c r="FF239" s="65"/>
      <c r="FG239" s="65"/>
      <c r="FH239" s="65"/>
      <c r="FI239" s="65"/>
      <c r="FJ239" s="65"/>
      <c r="FK239" s="65"/>
      <c r="FL239" s="65"/>
      <c r="FM239" s="65"/>
      <c r="FN239" s="65"/>
      <c r="FO239" s="65"/>
      <c r="FP239" s="65"/>
      <c r="FQ239" s="65"/>
      <c r="FR239" s="65"/>
      <c r="FS239" s="65"/>
      <c r="FT239" s="65"/>
      <c r="FU239" s="65"/>
    </row>
    <row r="240" spans="10:177" s="1" customFormat="1"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/>
      <c r="Z240" s="65"/>
      <c r="AA240" s="65"/>
      <c r="AB240" s="65"/>
      <c r="AC240" s="65"/>
      <c r="AD240" s="65"/>
      <c r="AE240" s="65"/>
      <c r="AF240" s="65"/>
      <c r="AG240" s="65"/>
      <c r="AH240" s="65"/>
      <c r="AI240" s="65"/>
      <c r="AJ240" s="65"/>
      <c r="AK240" s="65"/>
      <c r="AL240" s="65"/>
      <c r="AM240" s="65"/>
      <c r="AN240" s="65"/>
      <c r="AO240" s="65"/>
      <c r="AP240" s="65"/>
      <c r="AQ240" s="65"/>
      <c r="AR240" s="65"/>
      <c r="AS240" s="65"/>
      <c r="AT240" s="65"/>
      <c r="AU240" s="65"/>
      <c r="AV240" s="65"/>
      <c r="AW240" s="65"/>
      <c r="AX240" s="65"/>
      <c r="AY240" s="65"/>
      <c r="AZ240" s="65"/>
      <c r="BA240" s="65"/>
      <c r="BB240" s="65"/>
      <c r="BC240" s="65"/>
      <c r="BD240" s="65"/>
      <c r="BE240" s="65"/>
      <c r="BF240" s="65"/>
      <c r="BG240" s="65"/>
      <c r="BH240" s="65"/>
      <c r="BI240" s="65"/>
      <c r="BJ240" s="65"/>
      <c r="BK240" s="65"/>
      <c r="BL240" s="65"/>
      <c r="BM240" s="65"/>
      <c r="BN240" s="65"/>
      <c r="BO240" s="65"/>
      <c r="BP240" s="65"/>
      <c r="BQ240" s="65"/>
      <c r="BR240" s="65"/>
      <c r="BS240" s="65"/>
      <c r="BT240" s="65"/>
      <c r="BU240" s="65"/>
      <c r="BV240" s="65"/>
      <c r="BW240" s="65"/>
      <c r="BX240" s="65"/>
      <c r="BY240" s="65"/>
      <c r="BZ240" s="65"/>
      <c r="CA240" s="65"/>
      <c r="CB240" s="65"/>
      <c r="CC240" s="65"/>
      <c r="CD240" s="65"/>
      <c r="CE240" s="65"/>
      <c r="CF240" s="65"/>
      <c r="CG240" s="65"/>
      <c r="CH240" s="65"/>
      <c r="CI240" s="65"/>
      <c r="CJ240" s="65"/>
      <c r="CK240" s="65"/>
      <c r="CL240" s="65"/>
      <c r="CM240" s="65"/>
      <c r="CN240" s="65"/>
      <c r="CO240" s="65"/>
      <c r="CP240" s="65"/>
      <c r="CQ240" s="65"/>
      <c r="CR240" s="65"/>
      <c r="CS240" s="65"/>
      <c r="CT240" s="65"/>
      <c r="CU240" s="65"/>
      <c r="CV240" s="65"/>
      <c r="CW240" s="65"/>
      <c r="CX240" s="65"/>
      <c r="CY240" s="65"/>
      <c r="CZ240" s="65"/>
      <c r="DA240" s="65"/>
      <c r="DB240" s="65"/>
      <c r="DC240" s="65"/>
      <c r="DD240" s="65"/>
      <c r="DE240" s="65"/>
      <c r="DF240" s="65"/>
      <c r="DG240" s="65"/>
      <c r="DH240" s="65"/>
      <c r="DI240" s="65"/>
      <c r="DJ240" s="65"/>
      <c r="DK240" s="65"/>
      <c r="DL240" s="65"/>
      <c r="DM240" s="65"/>
      <c r="DN240" s="65"/>
      <c r="DO240" s="65"/>
      <c r="DP240" s="65"/>
      <c r="DQ240" s="65"/>
      <c r="DR240" s="65"/>
      <c r="DS240" s="65"/>
      <c r="DT240" s="65"/>
      <c r="DU240" s="65"/>
      <c r="DV240" s="65"/>
      <c r="DW240" s="65"/>
      <c r="DX240" s="65"/>
      <c r="DY240" s="65"/>
      <c r="DZ240" s="65"/>
      <c r="EA240" s="65"/>
      <c r="EB240" s="65"/>
      <c r="EC240" s="65"/>
      <c r="ED240" s="65"/>
      <c r="EE240" s="65"/>
      <c r="EF240" s="65"/>
      <c r="EG240" s="65"/>
      <c r="EH240" s="65"/>
      <c r="EI240" s="65"/>
      <c r="EJ240" s="65"/>
      <c r="EK240" s="65"/>
      <c r="EL240" s="65"/>
      <c r="EM240" s="65"/>
      <c r="EN240" s="65"/>
      <c r="EO240" s="65"/>
      <c r="EP240" s="65"/>
      <c r="EQ240" s="65"/>
      <c r="ER240" s="65"/>
      <c r="ES240" s="65"/>
      <c r="ET240" s="65"/>
      <c r="EU240" s="65"/>
      <c r="EV240" s="65"/>
      <c r="EW240" s="65"/>
      <c r="EX240" s="65"/>
      <c r="EY240" s="65"/>
      <c r="EZ240" s="65"/>
      <c r="FA240" s="65"/>
      <c r="FB240" s="65"/>
      <c r="FC240" s="65"/>
      <c r="FD240" s="65"/>
      <c r="FE240" s="65"/>
      <c r="FF240" s="65"/>
      <c r="FG240" s="65"/>
      <c r="FH240" s="65"/>
      <c r="FI240" s="65"/>
      <c r="FJ240" s="65"/>
      <c r="FK240" s="65"/>
      <c r="FL240" s="65"/>
      <c r="FM240" s="65"/>
      <c r="FN240" s="65"/>
      <c r="FO240" s="65"/>
      <c r="FP240" s="65"/>
      <c r="FQ240" s="65"/>
      <c r="FR240" s="65"/>
      <c r="FS240" s="65"/>
      <c r="FT240" s="65"/>
      <c r="FU240" s="65"/>
    </row>
    <row r="241" spans="10:177" s="1" customFormat="1"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  <c r="Z241" s="65"/>
      <c r="AA241" s="65"/>
      <c r="AB241" s="65"/>
      <c r="AC241" s="65"/>
      <c r="AD241" s="65"/>
      <c r="AE241" s="65"/>
      <c r="AF241" s="65"/>
      <c r="AG241" s="65"/>
      <c r="AH241" s="65"/>
      <c r="AI241" s="65"/>
      <c r="AJ241" s="65"/>
      <c r="AK241" s="65"/>
      <c r="AL241" s="65"/>
      <c r="AM241" s="65"/>
      <c r="AN241" s="65"/>
      <c r="AO241" s="65"/>
      <c r="AP241" s="65"/>
      <c r="AQ241" s="65"/>
      <c r="AR241" s="65"/>
      <c r="AS241" s="65"/>
      <c r="AT241" s="65"/>
      <c r="AU241" s="65"/>
      <c r="AV241" s="65"/>
      <c r="AW241" s="65"/>
      <c r="AX241" s="65"/>
      <c r="AY241" s="65"/>
      <c r="AZ241" s="65"/>
      <c r="BA241" s="65"/>
      <c r="BB241" s="65"/>
      <c r="BC241" s="65"/>
      <c r="BD241" s="65"/>
      <c r="BE241" s="65"/>
      <c r="BF241" s="65"/>
      <c r="BG241" s="65"/>
      <c r="BH241" s="65"/>
      <c r="BI241" s="65"/>
      <c r="BJ241" s="65"/>
      <c r="BK241" s="65"/>
      <c r="BL241" s="65"/>
      <c r="BM241" s="65"/>
      <c r="BN241" s="65"/>
      <c r="BO241" s="65"/>
      <c r="BP241" s="65"/>
      <c r="BQ241" s="65"/>
      <c r="BR241" s="65"/>
      <c r="BS241" s="65"/>
      <c r="BT241" s="65"/>
      <c r="BU241" s="65"/>
      <c r="BV241" s="65"/>
      <c r="BW241" s="65"/>
      <c r="BX241" s="65"/>
      <c r="BY241" s="65"/>
      <c r="BZ241" s="65"/>
      <c r="CA241" s="65"/>
      <c r="CB241" s="65"/>
      <c r="CC241" s="65"/>
      <c r="CD241" s="65"/>
      <c r="CE241" s="65"/>
      <c r="CF241" s="65"/>
      <c r="CG241" s="65"/>
      <c r="CH241" s="65"/>
      <c r="CI241" s="65"/>
      <c r="CJ241" s="65"/>
      <c r="CK241" s="65"/>
      <c r="CL241" s="65"/>
      <c r="CM241" s="65"/>
      <c r="CN241" s="65"/>
      <c r="CO241" s="65"/>
      <c r="CP241" s="65"/>
      <c r="CQ241" s="65"/>
      <c r="CR241" s="65"/>
      <c r="CS241" s="65"/>
      <c r="CT241" s="65"/>
      <c r="CU241" s="65"/>
      <c r="CV241" s="65"/>
      <c r="CW241" s="65"/>
      <c r="CX241" s="65"/>
      <c r="CY241" s="65"/>
      <c r="CZ241" s="65"/>
      <c r="DA241" s="65"/>
      <c r="DB241" s="65"/>
      <c r="DC241" s="65"/>
      <c r="DD241" s="65"/>
      <c r="DE241" s="65"/>
      <c r="DF241" s="65"/>
      <c r="DG241" s="65"/>
      <c r="DH241" s="65"/>
      <c r="DI241" s="65"/>
      <c r="DJ241" s="65"/>
      <c r="DK241" s="65"/>
      <c r="DL241" s="65"/>
      <c r="DM241" s="65"/>
      <c r="DN241" s="65"/>
      <c r="DO241" s="65"/>
      <c r="DP241" s="65"/>
      <c r="DQ241" s="65"/>
      <c r="DR241" s="65"/>
      <c r="DS241" s="65"/>
      <c r="DT241" s="65"/>
      <c r="DU241" s="65"/>
      <c r="DV241" s="65"/>
      <c r="DW241" s="65"/>
      <c r="DX241" s="65"/>
      <c r="DY241" s="65"/>
      <c r="DZ241" s="65"/>
      <c r="EA241" s="65"/>
      <c r="EB241" s="65"/>
      <c r="EC241" s="65"/>
      <c r="ED241" s="65"/>
      <c r="EE241" s="65"/>
      <c r="EF241" s="65"/>
      <c r="EG241" s="65"/>
      <c r="EH241" s="65"/>
      <c r="EI241" s="65"/>
      <c r="EJ241" s="65"/>
      <c r="EK241" s="65"/>
      <c r="EL241" s="65"/>
      <c r="EM241" s="65"/>
      <c r="EN241" s="65"/>
      <c r="EO241" s="65"/>
      <c r="EP241" s="65"/>
      <c r="EQ241" s="65"/>
      <c r="ER241" s="65"/>
      <c r="ES241" s="65"/>
      <c r="ET241" s="65"/>
      <c r="EU241" s="65"/>
      <c r="EV241" s="65"/>
      <c r="EW241" s="65"/>
      <c r="EX241" s="65"/>
      <c r="EY241" s="65"/>
      <c r="EZ241" s="65"/>
      <c r="FA241" s="65"/>
      <c r="FB241" s="65"/>
      <c r="FC241" s="65"/>
      <c r="FD241" s="65"/>
      <c r="FE241" s="65"/>
      <c r="FF241" s="65"/>
      <c r="FG241" s="65"/>
      <c r="FH241" s="65"/>
      <c r="FI241" s="65"/>
      <c r="FJ241" s="65"/>
      <c r="FK241" s="65"/>
      <c r="FL241" s="65"/>
      <c r="FM241" s="65"/>
      <c r="FN241" s="65"/>
      <c r="FO241" s="65"/>
      <c r="FP241" s="65"/>
      <c r="FQ241" s="65"/>
      <c r="FR241" s="65"/>
      <c r="FS241" s="65"/>
      <c r="FT241" s="65"/>
      <c r="FU241" s="65"/>
    </row>
    <row r="242" spans="10:177" s="1" customFormat="1"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  <c r="Z242" s="65"/>
      <c r="AA242" s="65"/>
      <c r="AB242" s="65"/>
      <c r="AC242" s="65"/>
      <c r="AD242" s="65"/>
      <c r="AE242" s="65"/>
      <c r="AF242" s="65"/>
      <c r="AG242" s="65"/>
      <c r="AH242" s="65"/>
      <c r="AI242" s="65"/>
      <c r="AJ242" s="65"/>
      <c r="AK242" s="65"/>
      <c r="AL242" s="65"/>
      <c r="AM242" s="65"/>
      <c r="AN242" s="65"/>
      <c r="AO242" s="65"/>
      <c r="AP242" s="65"/>
      <c r="AQ242" s="65"/>
      <c r="AR242" s="65"/>
      <c r="AS242" s="65"/>
      <c r="AT242" s="65"/>
      <c r="AU242" s="65"/>
      <c r="AV242" s="65"/>
      <c r="AW242" s="65"/>
      <c r="AX242" s="65"/>
      <c r="AY242" s="65"/>
      <c r="AZ242" s="65"/>
      <c r="BA242" s="65"/>
      <c r="BB242" s="65"/>
      <c r="BC242" s="65"/>
      <c r="BD242" s="65"/>
      <c r="BE242" s="65"/>
      <c r="BF242" s="65"/>
      <c r="BG242" s="65"/>
      <c r="BH242" s="65"/>
      <c r="BI242" s="65"/>
      <c r="BJ242" s="65"/>
      <c r="BK242" s="65"/>
      <c r="BL242" s="65"/>
      <c r="BM242" s="65"/>
      <c r="BN242" s="65"/>
      <c r="BO242" s="65"/>
      <c r="BP242" s="65"/>
      <c r="BQ242" s="65"/>
      <c r="BR242" s="65"/>
      <c r="BS242" s="65"/>
      <c r="BT242" s="65"/>
      <c r="BU242" s="65"/>
      <c r="BV242" s="65"/>
      <c r="BW242" s="65"/>
      <c r="BX242" s="65"/>
      <c r="BY242" s="65"/>
      <c r="BZ242" s="65"/>
      <c r="CA242" s="65"/>
      <c r="CB242" s="65"/>
      <c r="CC242" s="65"/>
      <c r="CD242" s="65"/>
      <c r="CE242" s="65"/>
      <c r="CF242" s="65"/>
      <c r="CG242" s="65"/>
      <c r="CH242" s="65"/>
      <c r="CI242" s="65"/>
      <c r="CJ242" s="65"/>
      <c r="CK242" s="65"/>
      <c r="CL242" s="65"/>
      <c r="CM242" s="65"/>
      <c r="CN242" s="65"/>
      <c r="CO242" s="65"/>
      <c r="CP242" s="65"/>
      <c r="CQ242" s="65"/>
      <c r="CR242" s="65"/>
      <c r="CS242" s="65"/>
      <c r="CT242" s="65"/>
      <c r="CU242" s="65"/>
      <c r="CV242" s="65"/>
      <c r="CW242" s="65"/>
      <c r="CX242" s="65"/>
      <c r="CY242" s="65"/>
      <c r="CZ242" s="65"/>
      <c r="DA242" s="65"/>
      <c r="DB242" s="65"/>
      <c r="DC242" s="65"/>
      <c r="DD242" s="65"/>
      <c r="DE242" s="65"/>
      <c r="DF242" s="65"/>
      <c r="DG242" s="65"/>
      <c r="DH242" s="65"/>
      <c r="DI242" s="65"/>
      <c r="DJ242" s="65"/>
      <c r="DK242" s="65"/>
      <c r="DL242" s="65"/>
      <c r="DM242" s="65"/>
      <c r="DN242" s="65"/>
      <c r="DO242" s="65"/>
      <c r="DP242" s="65"/>
      <c r="DQ242" s="65"/>
      <c r="DR242" s="65"/>
      <c r="DS242" s="65"/>
      <c r="DT242" s="65"/>
      <c r="DU242" s="65"/>
      <c r="DV242" s="65"/>
      <c r="DW242" s="65"/>
      <c r="DX242" s="65"/>
      <c r="DY242" s="65"/>
      <c r="DZ242" s="65"/>
      <c r="EA242" s="65"/>
      <c r="EB242" s="65"/>
      <c r="EC242" s="65"/>
      <c r="ED242" s="65"/>
      <c r="EE242" s="65"/>
      <c r="EF242" s="65"/>
      <c r="EG242" s="65"/>
      <c r="EH242" s="65"/>
      <c r="EI242" s="65"/>
      <c r="EJ242" s="65"/>
      <c r="EK242" s="65"/>
      <c r="EL242" s="65"/>
      <c r="EM242" s="65"/>
      <c r="EN242" s="65"/>
      <c r="EO242" s="65"/>
      <c r="EP242" s="65"/>
      <c r="EQ242" s="65"/>
      <c r="ER242" s="65"/>
      <c r="ES242" s="65"/>
      <c r="ET242" s="65"/>
      <c r="EU242" s="65"/>
      <c r="EV242" s="65"/>
      <c r="EW242" s="65"/>
      <c r="EX242" s="65"/>
      <c r="EY242" s="65"/>
      <c r="EZ242" s="65"/>
      <c r="FA242" s="65"/>
      <c r="FB242" s="65"/>
      <c r="FC242" s="65"/>
      <c r="FD242" s="65"/>
      <c r="FE242" s="65"/>
      <c r="FF242" s="65"/>
      <c r="FG242" s="65"/>
      <c r="FH242" s="65"/>
      <c r="FI242" s="65"/>
      <c r="FJ242" s="65"/>
      <c r="FK242" s="65"/>
      <c r="FL242" s="65"/>
      <c r="FM242" s="65"/>
      <c r="FN242" s="65"/>
      <c r="FO242" s="65"/>
      <c r="FP242" s="65"/>
      <c r="FQ242" s="65"/>
      <c r="FR242" s="65"/>
      <c r="FS242" s="65"/>
      <c r="FT242" s="65"/>
      <c r="FU242" s="65"/>
    </row>
    <row r="243" spans="10:177" s="1" customFormat="1"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  <c r="AA243" s="65"/>
      <c r="AB243" s="65"/>
      <c r="AC243" s="65"/>
      <c r="AD243" s="65"/>
      <c r="AE243" s="65"/>
      <c r="AF243" s="65"/>
      <c r="AG243" s="65"/>
      <c r="AH243" s="65"/>
      <c r="AI243" s="65"/>
      <c r="AJ243" s="65"/>
      <c r="AK243" s="65"/>
      <c r="AL243" s="65"/>
      <c r="AM243" s="65"/>
      <c r="AN243" s="65"/>
      <c r="AO243" s="65"/>
      <c r="AP243" s="65"/>
      <c r="AQ243" s="65"/>
      <c r="AR243" s="65"/>
      <c r="AS243" s="65"/>
      <c r="AT243" s="65"/>
      <c r="AU243" s="65"/>
      <c r="AV243" s="65"/>
      <c r="AW243" s="65"/>
      <c r="AX243" s="65"/>
      <c r="AY243" s="65"/>
      <c r="AZ243" s="65"/>
      <c r="BA243" s="65"/>
      <c r="BB243" s="65"/>
      <c r="BC243" s="65"/>
      <c r="BD243" s="65"/>
      <c r="BE243" s="65"/>
      <c r="BF243" s="65"/>
      <c r="BG243" s="65"/>
      <c r="BH243" s="65"/>
      <c r="BI243" s="65"/>
      <c r="BJ243" s="65"/>
      <c r="BK243" s="65"/>
      <c r="BL243" s="65"/>
      <c r="BM243" s="65"/>
      <c r="BN243" s="65"/>
      <c r="BO243" s="65"/>
      <c r="BP243" s="65"/>
      <c r="BQ243" s="65"/>
      <c r="BR243" s="65"/>
      <c r="BS243" s="65"/>
      <c r="BT243" s="65"/>
      <c r="BU243" s="65"/>
      <c r="BV243" s="65"/>
      <c r="BW243" s="65"/>
      <c r="BX243" s="65"/>
      <c r="BY243" s="65"/>
      <c r="BZ243" s="65"/>
      <c r="CA243" s="65"/>
      <c r="CB243" s="65"/>
      <c r="CC243" s="65"/>
      <c r="CD243" s="65"/>
      <c r="CE243" s="65"/>
      <c r="CF243" s="65"/>
      <c r="CG243" s="65"/>
      <c r="CH243" s="65"/>
      <c r="CI243" s="65"/>
      <c r="CJ243" s="65"/>
      <c r="CK243" s="65"/>
      <c r="CL243" s="65"/>
      <c r="CM243" s="65"/>
      <c r="CN243" s="65"/>
      <c r="CO243" s="65"/>
      <c r="CP243" s="65"/>
      <c r="CQ243" s="65"/>
      <c r="CR243" s="65"/>
      <c r="CS243" s="65"/>
      <c r="CT243" s="65"/>
      <c r="CU243" s="65"/>
      <c r="CV243" s="65"/>
      <c r="CW243" s="65"/>
      <c r="CX243" s="65"/>
      <c r="CY243" s="65"/>
      <c r="CZ243" s="65"/>
      <c r="DA243" s="65"/>
      <c r="DB243" s="65"/>
      <c r="DC243" s="65"/>
      <c r="DD243" s="65"/>
      <c r="DE243" s="65"/>
      <c r="DF243" s="65"/>
      <c r="DG243" s="65"/>
      <c r="DH243" s="65"/>
      <c r="DI243" s="65"/>
      <c r="DJ243" s="65"/>
      <c r="DK243" s="65"/>
      <c r="DL243" s="65"/>
      <c r="DM243" s="65"/>
      <c r="DN243" s="65"/>
      <c r="DO243" s="65"/>
      <c r="DP243" s="65"/>
      <c r="DQ243" s="65"/>
      <c r="DR243" s="65"/>
      <c r="DS243" s="65"/>
      <c r="DT243" s="65"/>
      <c r="DU243" s="65"/>
      <c r="DV243" s="65"/>
      <c r="DW243" s="65"/>
      <c r="DX243" s="65"/>
      <c r="DY243" s="65"/>
      <c r="DZ243" s="65"/>
      <c r="EA243" s="65"/>
      <c r="EB243" s="65"/>
      <c r="EC243" s="65"/>
      <c r="ED243" s="65"/>
      <c r="EE243" s="65"/>
      <c r="EF243" s="65"/>
      <c r="EG243" s="65"/>
      <c r="EH243" s="65"/>
      <c r="EI243" s="65"/>
      <c r="EJ243" s="65"/>
      <c r="EK243" s="65"/>
      <c r="EL243" s="65"/>
      <c r="EM243" s="65"/>
      <c r="EN243" s="65"/>
      <c r="EO243" s="65"/>
      <c r="EP243" s="65"/>
      <c r="EQ243" s="65"/>
      <c r="ER243" s="65"/>
      <c r="ES243" s="65"/>
      <c r="ET243" s="65"/>
      <c r="EU243" s="65"/>
      <c r="EV243" s="65"/>
      <c r="EW243" s="65"/>
      <c r="EX243" s="65"/>
      <c r="EY243" s="65"/>
      <c r="EZ243" s="65"/>
      <c r="FA243" s="65"/>
      <c r="FB243" s="65"/>
      <c r="FC243" s="65"/>
      <c r="FD243" s="65"/>
      <c r="FE243" s="65"/>
      <c r="FF243" s="65"/>
      <c r="FG243" s="65"/>
      <c r="FH243" s="65"/>
      <c r="FI243" s="65"/>
      <c r="FJ243" s="65"/>
      <c r="FK243" s="65"/>
      <c r="FL243" s="65"/>
      <c r="FM243" s="65"/>
      <c r="FN243" s="65"/>
      <c r="FO243" s="65"/>
      <c r="FP243" s="65"/>
      <c r="FQ243" s="65"/>
      <c r="FR243" s="65"/>
      <c r="FS243" s="65"/>
      <c r="FT243" s="65"/>
      <c r="FU243" s="65"/>
    </row>
    <row r="244" spans="10:177" s="1" customFormat="1"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  <c r="Z244" s="65"/>
      <c r="AA244" s="65"/>
      <c r="AB244" s="65"/>
      <c r="AC244" s="65"/>
      <c r="AD244" s="65"/>
      <c r="AE244" s="65"/>
      <c r="AF244" s="65"/>
      <c r="AG244" s="65"/>
      <c r="AH244" s="65"/>
      <c r="AI244" s="65"/>
      <c r="AJ244" s="65"/>
      <c r="AK244" s="65"/>
      <c r="AL244" s="65"/>
      <c r="AM244" s="65"/>
      <c r="AN244" s="65"/>
      <c r="AO244" s="65"/>
      <c r="AP244" s="65"/>
      <c r="AQ244" s="65"/>
      <c r="AR244" s="65"/>
      <c r="AS244" s="65"/>
      <c r="AT244" s="65"/>
      <c r="AU244" s="65"/>
      <c r="AV244" s="65"/>
      <c r="AW244" s="65"/>
      <c r="AX244" s="65"/>
      <c r="AY244" s="65"/>
      <c r="AZ244" s="65"/>
      <c r="BA244" s="65"/>
      <c r="BB244" s="65"/>
      <c r="BC244" s="65"/>
      <c r="BD244" s="65"/>
      <c r="BE244" s="65"/>
      <c r="BF244" s="65"/>
      <c r="BG244" s="65"/>
      <c r="BH244" s="65"/>
      <c r="BI244" s="65"/>
      <c r="BJ244" s="65"/>
      <c r="BK244" s="65"/>
      <c r="BL244" s="65"/>
      <c r="BM244" s="65"/>
      <c r="BN244" s="65"/>
      <c r="BO244" s="65"/>
      <c r="BP244" s="65"/>
      <c r="BQ244" s="65"/>
      <c r="BR244" s="65"/>
      <c r="BS244" s="65"/>
      <c r="BT244" s="65"/>
      <c r="BU244" s="65"/>
      <c r="BV244" s="65"/>
      <c r="BW244" s="65"/>
      <c r="BX244" s="65"/>
      <c r="BY244" s="65"/>
      <c r="BZ244" s="65"/>
      <c r="CA244" s="65"/>
      <c r="CB244" s="65"/>
      <c r="CC244" s="65"/>
      <c r="CD244" s="65"/>
      <c r="CE244" s="65"/>
      <c r="CF244" s="65"/>
      <c r="CG244" s="65"/>
      <c r="CH244" s="65"/>
      <c r="CI244" s="65"/>
      <c r="CJ244" s="65"/>
      <c r="CK244" s="65"/>
      <c r="CL244" s="65"/>
      <c r="CM244" s="65"/>
      <c r="CN244" s="65"/>
      <c r="CO244" s="65"/>
      <c r="CP244" s="65"/>
      <c r="CQ244" s="65"/>
      <c r="CR244" s="65"/>
      <c r="CS244" s="65"/>
      <c r="CT244" s="65"/>
      <c r="CU244" s="65"/>
      <c r="CV244" s="65"/>
      <c r="CW244" s="65"/>
      <c r="CX244" s="65"/>
      <c r="CY244" s="65"/>
      <c r="CZ244" s="65"/>
      <c r="DA244" s="65"/>
      <c r="DB244" s="65"/>
      <c r="DC244" s="65"/>
      <c r="DD244" s="65"/>
      <c r="DE244" s="65"/>
      <c r="DF244" s="65"/>
      <c r="DG244" s="65"/>
      <c r="DH244" s="65"/>
      <c r="DI244" s="65"/>
      <c r="DJ244" s="65"/>
      <c r="DK244" s="65"/>
      <c r="DL244" s="65"/>
      <c r="DM244" s="65"/>
      <c r="DN244" s="65"/>
      <c r="DO244" s="65"/>
      <c r="DP244" s="65"/>
      <c r="DQ244" s="65"/>
      <c r="DR244" s="65"/>
      <c r="DS244" s="65"/>
      <c r="DT244" s="65"/>
      <c r="DU244" s="65"/>
      <c r="DV244" s="65"/>
      <c r="DW244" s="65"/>
      <c r="DX244" s="65"/>
      <c r="DY244" s="65"/>
      <c r="DZ244" s="65"/>
      <c r="EA244" s="65"/>
      <c r="EB244" s="65"/>
      <c r="EC244" s="65"/>
      <c r="ED244" s="65"/>
      <c r="EE244" s="65"/>
      <c r="EF244" s="65"/>
      <c r="EG244" s="65"/>
      <c r="EH244" s="65"/>
      <c r="EI244" s="65"/>
      <c r="EJ244" s="65"/>
      <c r="EK244" s="65"/>
      <c r="EL244" s="65"/>
      <c r="EM244" s="65"/>
      <c r="EN244" s="65"/>
      <c r="EO244" s="65"/>
      <c r="EP244" s="65"/>
      <c r="EQ244" s="65"/>
      <c r="ER244" s="65"/>
      <c r="ES244" s="65"/>
      <c r="ET244" s="65"/>
      <c r="EU244" s="65"/>
      <c r="EV244" s="65"/>
      <c r="EW244" s="65"/>
      <c r="EX244" s="65"/>
      <c r="EY244" s="65"/>
      <c r="EZ244" s="65"/>
      <c r="FA244" s="65"/>
      <c r="FB244" s="65"/>
      <c r="FC244" s="65"/>
      <c r="FD244" s="65"/>
      <c r="FE244" s="65"/>
      <c r="FF244" s="65"/>
      <c r="FG244" s="65"/>
      <c r="FH244" s="65"/>
      <c r="FI244" s="65"/>
      <c r="FJ244" s="65"/>
      <c r="FK244" s="65"/>
      <c r="FL244" s="65"/>
      <c r="FM244" s="65"/>
      <c r="FN244" s="65"/>
      <c r="FO244" s="65"/>
      <c r="FP244" s="65"/>
      <c r="FQ244" s="65"/>
      <c r="FR244" s="65"/>
      <c r="FS244" s="65"/>
      <c r="FT244" s="65"/>
      <c r="FU244" s="65"/>
    </row>
    <row r="245" spans="10:177" s="1" customFormat="1"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65"/>
      <c r="AA245" s="65"/>
      <c r="AB245" s="65"/>
      <c r="AC245" s="65"/>
      <c r="AD245" s="65"/>
      <c r="AE245" s="65"/>
      <c r="AF245" s="65"/>
      <c r="AG245" s="65"/>
      <c r="AH245" s="65"/>
      <c r="AI245" s="65"/>
      <c r="AJ245" s="65"/>
      <c r="AK245" s="65"/>
      <c r="AL245" s="65"/>
      <c r="AM245" s="65"/>
      <c r="AN245" s="65"/>
      <c r="AO245" s="65"/>
      <c r="AP245" s="65"/>
      <c r="AQ245" s="65"/>
      <c r="AR245" s="65"/>
      <c r="AS245" s="65"/>
      <c r="AT245" s="65"/>
      <c r="AU245" s="65"/>
      <c r="AV245" s="65"/>
      <c r="AW245" s="65"/>
      <c r="AX245" s="65"/>
      <c r="AY245" s="65"/>
      <c r="AZ245" s="65"/>
      <c r="BA245" s="65"/>
      <c r="BB245" s="65"/>
      <c r="BC245" s="65"/>
      <c r="BD245" s="65"/>
      <c r="BE245" s="65"/>
      <c r="BF245" s="65"/>
      <c r="BG245" s="65"/>
      <c r="BH245" s="65"/>
      <c r="BI245" s="65"/>
      <c r="BJ245" s="65"/>
      <c r="BK245" s="65"/>
      <c r="BL245" s="65"/>
      <c r="BM245" s="65"/>
      <c r="BN245" s="65"/>
      <c r="BO245" s="65"/>
      <c r="BP245" s="65"/>
      <c r="BQ245" s="65"/>
      <c r="BR245" s="65"/>
      <c r="BS245" s="65"/>
      <c r="BT245" s="65"/>
      <c r="BU245" s="65"/>
      <c r="BV245" s="65"/>
      <c r="BW245" s="65"/>
      <c r="BX245" s="65"/>
      <c r="BY245" s="65"/>
      <c r="BZ245" s="65"/>
      <c r="CA245" s="65"/>
      <c r="CB245" s="65"/>
      <c r="CC245" s="65"/>
      <c r="CD245" s="65"/>
      <c r="CE245" s="65"/>
      <c r="CF245" s="65"/>
      <c r="CG245" s="65"/>
      <c r="CH245" s="65"/>
      <c r="CI245" s="65"/>
      <c r="CJ245" s="65"/>
      <c r="CK245" s="65"/>
      <c r="CL245" s="65"/>
      <c r="CM245" s="65"/>
      <c r="CN245" s="65"/>
      <c r="CO245" s="65"/>
      <c r="CP245" s="65"/>
      <c r="CQ245" s="65"/>
      <c r="CR245" s="65"/>
      <c r="CS245" s="65"/>
      <c r="CT245" s="65"/>
      <c r="CU245" s="65"/>
      <c r="CV245" s="65"/>
      <c r="CW245" s="65"/>
      <c r="CX245" s="65"/>
      <c r="CY245" s="65"/>
      <c r="CZ245" s="65"/>
      <c r="DA245" s="65"/>
      <c r="DB245" s="65"/>
      <c r="DC245" s="65"/>
      <c r="DD245" s="65"/>
      <c r="DE245" s="65"/>
      <c r="DF245" s="65"/>
      <c r="DG245" s="65"/>
      <c r="DH245" s="65"/>
      <c r="DI245" s="65"/>
      <c r="DJ245" s="65"/>
      <c r="DK245" s="65"/>
      <c r="DL245" s="65"/>
      <c r="DM245" s="65"/>
      <c r="DN245" s="65"/>
      <c r="DO245" s="65"/>
      <c r="DP245" s="65"/>
      <c r="DQ245" s="65"/>
      <c r="DR245" s="65"/>
      <c r="DS245" s="65"/>
      <c r="DT245" s="65"/>
      <c r="DU245" s="65"/>
      <c r="DV245" s="65"/>
      <c r="DW245" s="65"/>
      <c r="DX245" s="65"/>
      <c r="DY245" s="65"/>
      <c r="DZ245" s="65"/>
      <c r="EA245" s="65"/>
      <c r="EB245" s="65"/>
      <c r="EC245" s="65"/>
      <c r="ED245" s="65"/>
      <c r="EE245" s="65"/>
      <c r="EF245" s="65"/>
      <c r="EG245" s="65"/>
      <c r="EH245" s="65"/>
      <c r="EI245" s="65"/>
      <c r="EJ245" s="65"/>
      <c r="EK245" s="65"/>
      <c r="EL245" s="65"/>
      <c r="EM245" s="65"/>
      <c r="EN245" s="65"/>
      <c r="EO245" s="65"/>
      <c r="EP245" s="65"/>
      <c r="EQ245" s="65"/>
      <c r="ER245" s="65"/>
      <c r="ES245" s="65"/>
      <c r="ET245" s="65"/>
      <c r="EU245" s="65"/>
      <c r="EV245" s="65"/>
      <c r="EW245" s="65"/>
      <c r="EX245" s="65"/>
      <c r="EY245" s="65"/>
      <c r="EZ245" s="65"/>
      <c r="FA245" s="65"/>
      <c r="FB245" s="65"/>
      <c r="FC245" s="65"/>
      <c r="FD245" s="65"/>
      <c r="FE245" s="65"/>
      <c r="FF245" s="65"/>
      <c r="FG245" s="65"/>
      <c r="FH245" s="65"/>
      <c r="FI245" s="65"/>
      <c r="FJ245" s="65"/>
      <c r="FK245" s="65"/>
      <c r="FL245" s="65"/>
      <c r="FM245" s="65"/>
      <c r="FN245" s="65"/>
      <c r="FO245" s="65"/>
      <c r="FP245" s="65"/>
      <c r="FQ245" s="65"/>
      <c r="FR245" s="65"/>
      <c r="FS245" s="65"/>
      <c r="FT245" s="65"/>
      <c r="FU245" s="65"/>
    </row>
    <row r="246" spans="10:177" s="1" customFormat="1"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65"/>
      <c r="Z246" s="65"/>
      <c r="AA246" s="65"/>
      <c r="AB246" s="65"/>
      <c r="AC246" s="65"/>
      <c r="AD246" s="65"/>
      <c r="AE246" s="65"/>
      <c r="AF246" s="65"/>
      <c r="AG246" s="65"/>
      <c r="AH246" s="65"/>
      <c r="AI246" s="65"/>
      <c r="AJ246" s="65"/>
      <c r="AK246" s="65"/>
      <c r="AL246" s="65"/>
      <c r="AM246" s="65"/>
      <c r="AN246" s="65"/>
      <c r="AO246" s="65"/>
      <c r="AP246" s="65"/>
      <c r="AQ246" s="65"/>
      <c r="AR246" s="65"/>
      <c r="AS246" s="65"/>
      <c r="AT246" s="65"/>
      <c r="AU246" s="65"/>
      <c r="AV246" s="65"/>
      <c r="AW246" s="65"/>
      <c r="AX246" s="65"/>
      <c r="AY246" s="65"/>
      <c r="AZ246" s="65"/>
      <c r="BA246" s="65"/>
      <c r="BB246" s="65"/>
      <c r="BC246" s="65"/>
      <c r="BD246" s="65"/>
      <c r="BE246" s="65"/>
      <c r="BF246" s="65"/>
      <c r="BG246" s="65"/>
      <c r="BH246" s="65"/>
      <c r="BI246" s="65"/>
      <c r="BJ246" s="65"/>
      <c r="BK246" s="65"/>
      <c r="BL246" s="65"/>
      <c r="BM246" s="65"/>
      <c r="BN246" s="65"/>
      <c r="BO246" s="65"/>
      <c r="BP246" s="65"/>
      <c r="BQ246" s="65"/>
      <c r="BR246" s="65"/>
      <c r="BS246" s="65"/>
      <c r="BT246" s="65"/>
      <c r="BU246" s="65"/>
      <c r="BV246" s="65"/>
      <c r="BW246" s="65"/>
      <c r="BX246" s="65"/>
      <c r="BY246" s="65"/>
      <c r="BZ246" s="65"/>
      <c r="CA246" s="65"/>
      <c r="CB246" s="65"/>
      <c r="CC246" s="65"/>
      <c r="CD246" s="65"/>
      <c r="CE246" s="65"/>
      <c r="CF246" s="65"/>
      <c r="CG246" s="65"/>
      <c r="CH246" s="65"/>
      <c r="CI246" s="65"/>
      <c r="CJ246" s="65"/>
      <c r="CK246" s="65"/>
      <c r="CL246" s="65"/>
      <c r="CM246" s="65"/>
      <c r="CN246" s="65"/>
      <c r="CO246" s="65"/>
      <c r="CP246" s="65"/>
      <c r="CQ246" s="65"/>
      <c r="CR246" s="65"/>
      <c r="CS246" s="65"/>
      <c r="CT246" s="65"/>
      <c r="CU246" s="65"/>
      <c r="CV246" s="65"/>
      <c r="CW246" s="65"/>
      <c r="CX246" s="65"/>
      <c r="CY246" s="65"/>
      <c r="CZ246" s="65"/>
      <c r="DA246" s="65"/>
      <c r="DB246" s="65"/>
      <c r="DC246" s="65"/>
      <c r="DD246" s="65"/>
      <c r="DE246" s="65"/>
      <c r="DF246" s="65"/>
      <c r="DG246" s="65"/>
      <c r="DH246" s="65"/>
      <c r="DI246" s="65"/>
      <c r="DJ246" s="65"/>
      <c r="DK246" s="65"/>
      <c r="DL246" s="65"/>
      <c r="DM246" s="65"/>
      <c r="DN246" s="65"/>
      <c r="DO246" s="65"/>
      <c r="DP246" s="65"/>
      <c r="DQ246" s="65"/>
      <c r="DR246" s="65"/>
      <c r="DS246" s="65"/>
      <c r="DT246" s="65"/>
      <c r="DU246" s="65"/>
      <c r="DV246" s="65"/>
      <c r="DW246" s="65"/>
      <c r="DX246" s="65"/>
      <c r="DY246" s="65"/>
      <c r="DZ246" s="65"/>
      <c r="EA246" s="65"/>
      <c r="EB246" s="65"/>
      <c r="EC246" s="65"/>
      <c r="ED246" s="65"/>
      <c r="EE246" s="65"/>
      <c r="EF246" s="65"/>
      <c r="EG246" s="65"/>
      <c r="EH246" s="65"/>
      <c r="EI246" s="65"/>
      <c r="EJ246" s="65"/>
      <c r="EK246" s="65"/>
      <c r="EL246" s="65"/>
      <c r="EM246" s="65"/>
      <c r="EN246" s="65"/>
      <c r="EO246" s="65"/>
      <c r="EP246" s="65"/>
      <c r="EQ246" s="65"/>
      <c r="ER246" s="65"/>
      <c r="ES246" s="65"/>
      <c r="ET246" s="65"/>
      <c r="EU246" s="65"/>
      <c r="EV246" s="65"/>
      <c r="EW246" s="65"/>
      <c r="EX246" s="65"/>
      <c r="EY246" s="65"/>
      <c r="EZ246" s="65"/>
      <c r="FA246" s="65"/>
      <c r="FB246" s="65"/>
      <c r="FC246" s="65"/>
      <c r="FD246" s="65"/>
      <c r="FE246" s="65"/>
      <c r="FF246" s="65"/>
      <c r="FG246" s="65"/>
      <c r="FH246" s="65"/>
      <c r="FI246" s="65"/>
      <c r="FJ246" s="65"/>
      <c r="FK246" s="65"/>
      <c r="FL246" s="65"/>
      <c r="FM246" s="65"/>
      <c r="FN246" s="65"/>
      <c r="FO246" s="65"/>
      <c r="FP246" s="65"/>
      <c r="FQ246" s="65"/>
      <c r="FR246" s="65"/>
      <c r="FS246" s="65"/>
      <c r="FT246" s="65"/>
      <c r="FU246" s="65"/>
    </row>
    <row r="247" spans="10:177" s="1" customFormat="1"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  <c r="Z247" s="65"/>
      <c r="AA247" s="65"/>
      <c r="AB247" s="65"/>
      <c r="AC247" s="65"/>
      <c r="AD247" s="65"/>
      <c r="AE247" s="65"/>
      <c r="AF247" s="65"/>
      <c r="AG247" s="65"/>
      <c r="AH247" s="65"/>
      <c r="AI247" s="65"/>
      <c r="AJ247" s="65"/>
      <c r="AK247" s="65"/>
      <c r="AL247" s="65"/>
      <c r="AM247" s="65"/>
      <c r="AN247" s="65"/>
      <c r="AO247" s="65"/>
      <c r="AP247" s="65"/>
      <c r="AQ247" s="65"/>
      <c r="AR247" s="65"/>
      <c r="AS247" s="65"/>
      <c r="AT247" s="65"/>
      <c r="AU247" s="65"/>
      <c r="AV247" s="65"/>
      <c r="AW247" s="65"/>
      <c r="AX247" s="65"/>
      <c r="AY247" s="65"/>
      <c r="AZ247" s="65"/>
      <c r="BA247" s="65"/>
      <c r="BB247" s="65"/>
      <c r="BC247" s="65"/>
      <c r="BD247" s="65"/>
      <c r="BE247" s="65"/>
      <c r="BF247" s="65"/>
      <c r="BG247" s="65"/>
      <c r="BH247" s="65"/>
      <c r="BI247" s="65"/>
      <c r="BJ247" s="65"/>
      <c r="BK247" s="65"/>
      <c r="BL247" s="65"/>
      <c r="BM247" s="65"/>
      <c r="BN247" s="65"/>
      <c r="BO247" s="65"/>
      <c r="BP247" s="65"/>
      <c r="BQ247" s="65"/>
      <c r="BR247" s="65"/>
      <c r="BS247" s="65"/>
      <c r="BT247" s="65"/>
      <c r="BU247" s="65"/>
      <c r="BV247" s="65"/>
      <c r="BW247" s="65"/>
      <c r="BX247" s="65"/>
      <c r="BY247" s="65"/>
      <c r="BZ247" s="65"/>
      <c r="CA247" s="65"/>
      <c r="CB247" s="65"/>
      <c r="CC247" s="65"/>
      <c r="CD247" s="65"/>
      <c r="CE247" s="65"/>
      <c r="CF247" s="65"/>
      <c r="CG247" s="65"/>
      <c r="CH247" s="65"/>
      <c r="CI247" s="65"/>
      <c r="CJ247" s="65"/>
      <c r="CK247" s="65"/>
      <c r="CL247" s="65"/>
      <c r="CM247" s="65"/>
      <c r="CN247" s="65"/>
      <c r="CO247" s="65"/>
      <c r="CP247" s="65"/>
      <c r="CQ247" s="65"/>
      <c r="CR247" s="65"/>
      <c r="CS247" s="65"/>
      <c r="CT247" s="65"/>
      <c r="CU247" s="65"/>
      <c r="CV247" s="65"/>
      <c r="CW247" s="65"/>
      <c r="CX247" s="65"/>
      <c r="CY247" s="65"/>
      <c r="CZ247" s="65"/>
      <c r="DA247" s="65"/>
      <c r="DB247" s="65"/>
      <c r="DC247" s="65"/>
      <c r="DD247" s="65"/>
      <c r="DE247" s="65"/>
      <c r="DF247" s="65"/>
      <c r="DG247" s="65"/>
      <c r="DH247" s="65"/>
      <c r="DI247" s="65"/>
      <c r="DJ247" s="65"/>
      <c r="DK247" s="65"/>
      <c r="DL247" s="65"/>
      <c r="DM247" s="65"/>
      <c r="DN247" s="65"/>
      <c r="DO247" s="65"/>
      <c r="DP247" s="65"/>
      <c r="DQ247" s="65"/>
      <c r="DR247" s="65"/>
      <c r="DS247" s="65"/>
      <c r="DT247" s="65"/>
      <c r="DU247" s="65"/>
      <c r="DV247" s="65"/>
      <c r="DW247" s="65"/>
      <c r="DX247" s="65"/>
      <c r="DY247" s="65"/>
      <c r="DZ247" s="65"/>
      <c r="EA247" s="65"/>
      <c r="EB247" s="65"/>
      <c r="EC247" s="65"/>
      <c r="ED247" s="65"/>
      <c r="EE247" s="65"/>
      <c r="EF247" s="65"/>
      <c r="EG247" s="65"/>
      <c r="EH247" s="65"/>
      <c r="EI247" s="65"/>
      <c r="EJ247" s="65"/>
      <c r="EK247" s="65"/>
      <c r="EL247" s="65"/>
      <c r="EM247" s="65"/>
      <c r="EN247" s="65"/>
      <c r="EO247" s="65"/>
      <c r="EP247" s="65"/>
      <c r="EQ247" s="65"/>
      <c r="ER247" s="65"/>
      <c r="ES247" s="65"/>
      <c r="ET247" s="65"/>
      <c r="EU247" s="65"/>
      <c r="EV247" s="65"/>
      <c r="EW247" s="65"/>
      <c r="EX247" s="65"/>
      <c r="EY247" s="65"/>
      <c r="EZ247" s="65"/>
      <c r="FA247" s="65"/>
      <c r="FB247" s="65"/>
      <c r="FC247" s="65"/>
      <c r="FD247" s="65"/>
      <c r="FE247" s="65"/>
      <c r="FF247" s="65"/>
      <c r="FG247" s="65"/>
      <c r="FH247" s="65"/>
      <c r="FI247" s="65"/>
      <c r="FJ247" s="65"/>
      <c r="FK247" s="65"/>
      <c r="FL247" s="65"/>
      <c r="FM247" s="65"/>
      <c r="FN247" s="65"/>
      <c r="FO247" s="65"/>
      <c r="FP247" s="65"/>
      <c r="FQ247" s="65"/>
      <c r="FR247" s="65"/>
      <c r="FS247" s="65"/>
      <c r="FT247" s="65"/>
      <c r="FU247" s="65"/>
    </row>
    <row r="248" spans="10:177" s="1" customFormat="1"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65"/>
      <c r="AA248" s="65"/>
      <c r="AB248" s="65"/>
      <c r="AC248" s="65"/>
      <c r="AD248" s="65"/>
      <c r="AE248" s="65"/>
      <c r="AF248" s="65"/>
      <c r="AG248" s="65"/>
      <c r="AH248" s="65"/>
      <c r="AI248" s="65"/>
      <c r="AJ248" s="65"/>
      <c r="AK248" s="65"/>
      <c r="AL248" s="65"/>
      <c r="AM248" s="65"/>
      <c r="AN248" s="65"/>
      <c r="AO248" s="65"/>
      <c r="AP248" s="65"/>
      <c r="AQ248" s="65"/>
      <c r="AR248" s="65"/>
      <c r="AS248" s="65"/>
      <c r="AT248" s="65"/>
      <c r="AU248" s="65"/>
      <c r="AV248" s="65"/>
      <c r="AW248" s="65"/>
      <c r="AX248" s="65"/>
      <c r="AY248" s="65"/>
      <c r="AZ248" s="65"/>
      <c r="BA248" s="65"/>
      <c r="BB248" s="65"/>
      <c r="BC248" s="65"/>
      <c r="BD248" s="65"/>
      <c r="BE248" s="65"/>
      <c r="BF248" s="65"/>
      <c r="BG248" s="65"/>
      <c r="BH248" s="65"/>
      <c r="BI248" s="65"/>
      <c r="BJ248" s="65"/>
      <c r="BK248" s="65"/>
      <c r="BL248" s="65"/>
      <c r="BM248" s="65"/>
      <c r="BN248" s="65"/>
      <c r="BO248" s="65"/>
      <c r="BP248" s="65"/>
      <c r="BQ248" s="65"/>
      <c r="BR248" s="65"/>
      <c r="BS248" s="65"/>
      <c r="BT248" s="65"/>
      <c r="BU248" s="65"/>
      <c r="BV248" s="65"/>
      <c r="BW248" s="65"/>
      <c r="BX248" s="65"/>
      <c r="BY248" s="65"/>
      <c r="BZ248" s="65"/>
      <c r="CA248" s="65"/>
      <c r="CB248" s="65"/>
      <c r="CC248" s="65"/>
      <c r="CD248" s="65"/>
      <c r="CE248" s="65"/>
      <c r="CF248" s="65"/>
      <c r="CG248" s="65"/>
      <c r="CH248" s="65"/>
      <c r="CI248" s="65"/>
      <c r="CJ248" s="65"/>
      <c r="CK248" s="65"/>
      <c r="CL248" s="65"/>
      <c r="CM248" s="65"/>
      <c r="CN248" s="65"/>
      <c r="CO248" s="65"/>
      <c r="CP248" s="65"/>
      <c r="CQ248" s="65"/>
      <c r="CR248" s="65"/>
      <c r="CS248" s="65"/>
      <c r="CT248" s="65"/>
      <c r="CU248" s="65"/>
      <c r="CV248" s="65"/>
      <c r="CW248" s="65"/>
      <c r="CX248" s="65"/>
      <c r="CY248" s="65"/>
      <c r="CZ248" s="65"/>
      <c r="DA248" s="65"/>
      <c r="DB248" s="65"/>
      <c r="DC248" s="65"/>
      <c r="DD248" s="65"/>
      <c r="DE248" s="65"/>
      <c r="DF248" s="65"/>
      <c r="DG248" s="65"/>
      <c r="DH248" s="65"/>
      <c r="DI248" s="65"/>
      <c r="DJ248" s="65"/>
      <c r="DK248" s="65"/>
      <c r="DL248" s="65"/>
      <c r="DM248" s="65"/>
      <c r="DN248" s="65"/>
      <c r="DO248" s="65"/>
      <c r="DP248" s="65"/>
      <c r="DQ248" s="65"/>
      <c r="DR248" s="65"/>
      <c r="DS248" s="65"/>
      <c r="DT248" s="65"/>
      <c r="DU248" s="65"/>
      <c r="DV248" s="65"/>
      <c r="DW248" s="65"/>
      <c r="DX248" s="65"/>
      <c r="DY248" s="65"/>
      <c r="DZ248" s="65"/>
      <c r="EA248" s="65"/>
      <c r="EB248" s="65"/>
      <c r="EC248" s="65"/>
      <c r="ED248" s="65"/>
      <c r="EE248" s="65"/>
      <c r="EF248" s="65"/>
      <c r="EG248" s="65"/>
      <c r="EH248" s="65"/>
      <c r="EI248" s="65"/>
      <c r="EJ248" s="65"/>
      <c r="EK248" s="65"/>
      <c r="EL248" s="65"/>
      <c r="EM248" s="65"/>
      <c r="EN248" s="65"/>
      <c r="EO248" s="65"/>
      <c r="EP248" s="65"/>
      <c r="EQ248" s="65"/>
      <c r="ER248" s="65"/>
      <c r="ES248" s="65"/>
      <c r="ET248" s="65"/>
      <c r="EU248" s="65"/>
      <c r="EV248" s="65"/>
      <c r="EW248" s="65"/>
      <c r="EX248" s="65"/>
      <c r="EY248" s="65"/>
      <c r="EZ248" s="65"/>
      <c r="FA248" s="65"/>
      <c r="FB248" s="65"/>
      <c r="FC248" s="65"/>
      <c r="FD248" s="65"/>
      <c r="FE248" s="65"/>
      <c r="FF248" s="65"/>
      <c r="FG248" s="65"/>
      <c r="FH248" s="65"/>
      <c r="FI248" s="65"/>
      <c r="FJ248" s="65"/>
      <c r="FK248" s="65"/>
      <c r="FL248" s="65"/>
      <c r="FM248" s="65"/>
      <c r="FN248" s="65"/>
      <c r="FO248" s="65"/>
      <c r="FP248" s="65"/>
      <c r="FQ248" s="65"/>
      <c r="FR248" s="65"/>
      <c r="FS248" s="65"/>
      <c r="FT248" s="65"/>
      <c r="FU248" s="65"/>
    </row>
    <row r="249" spans="10:177" s="1" customFormat="1">
      <c r="J249" s="65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65"/>
      <c r="Z249" s="65"/>
      <c r="AA249" s="65"/>
      <c r="AB249" s="65"/>
      <c r="AC249" s="65"/>
      <c r="AD249" s="65"/>
      <c r="AE249" s="65"/>
      <c r="AF249" s="65"/>
      <c r="AG249" s="65"/>
      <c r="AH249" s="65"/>
      <c r="AI249" s="65"/>
      <c r="AJ249" s="65"/>
      <c r="AK249" s="65"/>
      <c r="AL249" s="65"/>
      <c r="AM249" s="65"/>
      <c r="AN249" s="65"/>
      <c r="AO249" s="65"/>
      <c r="AP249" s="65"/>
      <c r="AQ249" s="65"/>
      <c r="AR249" s="65"/>
      <c r="AS249" s="65"/>
      <c r="AT249" s="65"/>
      <c r="AU249" s="65"/>
      <c r="AV249" s="65"/>
      <c r="AW249" s="65"/>
      <c r="AX249" s="65"/>
      <c r="AY249" s="65"/>
      <c r="AZ249" s="65"/>
      <c r="BA249" s="65"/>
      <c r="BB249" s="65"/>
      <c r="BC249" s="65"/>
      <c r="BD249" s="65"/>
      <c r="BE249" s="65"/>
      <c r="BF249" s="65"/>
      <c r="BG249" s="65"/>
      <c r="BH249" s="65"/>
      <c r="BI249" s="65"/>
      <c r="BJ249" s="65"/>
      <c r="BK249" s="65"/>
      <c r="BL249" s="65"/>
      <c r="BM249" s="65"/>
      <c r="BN249" s="65"/>
      <c r="BO249" s="65"/>
      <c r="BP249" s="65"/>
      <c r="BQ249" s="65"/>
      <c r="BR249" s="65"/>
      <c r="BS249" s="65"/>
      <c r="BT249" s="65"/>
      <c r="BU249" s="65"/>
      <c r="BV249" s="65"/>
      <c r="BW249" s="65"/>
      <c r="BX249" s="65"/>
      <c r="BY249" s="65"/>
      <c r="BZ249" s="65"/>
      <c r="CA249" s="65"/>
      <c r="CB249" s="65"/>
      <c r="CC249" s="65"/>
      <c r="CD249" s="65"/>
      <c r="CE249" s="65"/>
      <c r="CF249" s="65"/>
      <c r="CG249" s="65"/>
      <c r="CH249" s="65"/>
      <c r="CI249" s="65"/>
      <c r="CJ249" s="65"/>
      <c r="CK249" s="65"/>
      <c r="CL249" s="65"/>
      <c r="CM249" s="65"/>
      <c r="CN249" s="65"/>
      <c r="CO249" s="65"/>
      <c r="CP249" s="65"/>
      <c r="CQ249" s="65"/>
      <c r="CR249" s="65"/>
      <c r="CS249" s="65"/>
      <c r="CT249" s="65"/>
      <c r="CU249" s="65"/>
      <c r="CV249" s="65"/>
      <c r="CW249" s="65"/>
      <c r="CX249" s="65"/>
      <c r="CY249" s="65"/>
      <c r="CZ249" s="65"/>
      <c r="DA249" s="65"/>
      <c r="DB249" s="65"/>
      <c r="DC249" s="65"/>
      <c r="DD249" s="65"/>
      <c r="DE249" s="65"/>
      <c r="DF249" s="65"/>
      <c r="DG249" s="65"/>
      <c r="DH249" s="65"/>
      <c r="DI249" s="65"/>
      <c r="DJ249" s="65"/>
      <c r="DK249" s="65"/>
      <c r="DL249" s="65"/>
      <c r="DM249" s="65"/>
      <c r="DN249" s="65"/>
      <c r="DO249" s="65"/>
      <c r="DP249" s="65"/>
      <c r="DQ249" s="65"/>
      <c r="DR249" s="65"/>
      <c r="DS249" s="65"/>
      <c r="DT249" s="65"/>
      <c r="DU249" s="65"/>
      <c r="DV249" s="65"/>
      <c r="DW249" s="65"/>
      <c r="DX249" s="65"/>
      <c r="DY249" s="65"/>
      <c r="DZ249" s="65"/>
      <c r="EA249" s="65"/>
      <c r="EB249" s="65"/>
      <c r="EC249" s="65"/>
      <c r="ED249" s="65"/>
      <c r="EE249" s="65"/>
      <c r="EF249" s="65"/>
      <c r="EG249" s="65"/>
      <c r="EH249" s="65"/>
      <c r="EI249" s="65"/>
      <c r="EJ249" s="65"/>
      <c r="EK249" s="65"/>
      <c r="EL249" s="65"/>
      <c r="EM249" s="65"/>
      <c r="EN249" s="65"/>
      <c r="EO249" s="65"/>
      <c r="EP249" s="65"/>
      <c r="EQ249" s="65"/>
      <c r="ER249" s="65"/>
      <c r="ES249" s="65"/>
      <c r="ET249" s="65"/>
      <c r="EU249" s="65"/>
      <c r="EV249" s="65"/>
      <c r="EW249" s="65"/>
      <c r="EX249" s="65"/>
      <c r="EY249" s="65"/>
      <c r="EZ249" s="65"/>
      <c r="FA249" s="65"/>
      <c r="FB249" s="65"/>
      <c r="FC249" s="65"/>
      <c r="FD249" s="65"/>
      <c r="FE249" s="65"/>
      <c r="FF249" s="65"/>
      <c r="FG249" s="65"/>
      <c r="FH249" s="65"/>
      <c r="FI249" s="65"/>
      <c r="FJ249" s="65"/>
      <c r="FK249" s="65"/>
      <c r="FL249" s="65"/>
      <c r="FM249" s="65"/>
      <c r="FN249" s="65"/>
      <c r="FO249" s="65"/>
      <c r="FP249" s="65"/>
      <c r="FQ249" s="65"/>
      <c r="FR249" s="65"/>
      <c r="FS249" s="65"/>
      <c r="FT249" s="65"/>
      <c r="FU249" s="65"/>
    </row>
    <row r="250" spans="10:177" s="1" customFormat="1"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  <c r="AA250" s="65"/>
      <c r="AB250" s="65"/>
      <c r="AC250" s="65"/>
      <c r="AD250" s="65"/>
      <c r="AE250" s="65"/>
      <c r="AF250" s="65"/>
      <c r="AG250" s="65"/>
      <c r="AH250" s="65"/>
      <c r="AI250" s="65"/>
      <c r="AJ250" s="65"/>
      <c r="AK250" s="65"/>
      <c r="AL250" s="65"/>
      <c r="AM250" s="65"/>
      <c r="AN250" s="65"/>
      <c r="AO250" s="65"/>
      <c r="AP250" s="65"/>
      <c r="AQ250" s="65"/>
      <c r="AR250" s="65"/>
      <c r="AS250" s="65"/>
      <c r="AT250" s="65"/>
      <c r="AU250" s="65"/>
      <c r="AV250" s="65"/>
      <c r="AW250" s="65"/>
      <c r="AX250" s="65"/>
      <c r="AY250" s="65"/>
      <c r="AZ250" s="65"/>
      <c r="BA250" s="65"/>
      <c r="BB250" s="65"/>
      <c r="BC250" s="65"/>
      <c r="BD250" s="65"/>
      <c r="BE250" s="65"/>
      <c r="BF250" s="65"/>
      <c r="BG250" s="65"/>
      <c r="BH250" s="65"/>
      <c r="BI250" s="65"/>
      <c r="BJ250" s="65"/>
      <c r="BK250" s="65"/>
      <c r="BL250" s="65"/>
      <c r="BM250" s="65"/>
      <c r="BN250" s="65"/>
      <c r="BO250" s="65"/>
      <c r="BP250" s="65"/>
      <c r="BQ250" s="65"/>
      <c r="BR250" s="65"/>
      <c r="BS250" s="65"/>
      <c r="BT250" s="65"/>
      <c r="BU250" s="65"/>
      <c r="BV250" s="65"/>
      <c r="BW250" s="65"/>
      <c r="BX250" s="65"/>
      <c r="BY250" s="65"/>
      <c r="BZ250" s="65"/>
      <c r="CA250" s="65"/>
      <c r="CB250" s="65"/>
      <c r="CC250" s="65"/>
      <c r="CD250" s="65"/>
      <c r="CE250" s="65"/>
      <c r="CF250" s="65"/>
      <c r="CG250" s="65"/>
      <c r="CH250" s="65"/>
      <c r="CI250" s="65"/>
      <c r="CJ250" s="65"/>
      <c r="CK250" s="65"/>
      <c r="CL250" s="65"/>
      <c r="CM250" s="65"/>
      <c r="CN250" s="65"/>
      <c r="CO250" s="65"/>
      <c r="CP250" s="65"/>
      <c r="CQ250" s="65"/>
      <c r="CR250" s="65"/>
      <c r="CS250" s="65"/>
      <c r="CT250" s="65"/>
      <c r="CU250" s="65"/>
      <c r="CV250" s="65"/>
      <c r="CW250" s="65"/>
      <c r="CX250" s="65"/>
      <c r="CY250" s="65"/>
      <c r="CZ250" s="65"/>
      <c r="DA250" s="65"/>
      <c r="DB250" s="65"/>
      <c r="DC250" s="65"/>
      <c r="DD250" s="65"/>
      <c r="DE250" s="65"/>
      <c r="DF250" s="65"/>
      <c r="DG250" s="65"/>
      <c r="DH250" s="65"/>
      <c r="DI250" s="65"/>
      <c r="DJ250" s="65"/>
      <c r="DK250" s="65"/>
      <c r="DL250" s="65"/>
      <c r="DM250" s="65"/>
      <c r="DN250" s="65"/>
      <c r="DO250" s="65"/>
      <c r="DP250" s="65"/>
      <c r="DQ250" s="65"/>
      <c r="DR250" s="65"/>
      <c r="DS250" s="65"/>
      <c r="DT250" s="65"/>
      <c r="DU250" s="65"/>
      <c r="DV250" s="65"/>
      <c r="DW250" s="65"/>
      <c r="DX250" s="65"/>
      <c r="DY250" s="65"/>
      <c r="DZ250" s="65"/>
      <c r="EA250" s="65"/>
      <c r="EB250" s="65"/>
      <c r="EC250" s="65"/>
      <c r="ED250" s="65"/>
      <c r="EE250" s="65"/>
      <c r="EF250" s="65"/>
      <c r="EG250" s="65"/>
      <c r="EH250" s="65"/>
      <c r="EI250" s="65"/>
      <c r="EJ250" s="65"/>
      <c r="EK250" s="65"/>
      <c r="EL250" s="65"/>
      <c r="EM250" s="65"/>
      <c r="EN250" s="65"/>
      <c r="EO250" s="65"/>
      <c r="EP250" s="65"/>
      <c r="EQ250" s="65"/>
      <c r="ER250" s="65"/>
      <c r="ES250" s="65"/>
      <c r="ET250" s="65"/>
      <c r="EU250" s="65"/>
      <c r="EV250" s="65"/>
      <c r="EW250" s="65"/>
      <c r="EX250" s="65"/>
      <c r="EY250" s="65"/>
      <c r="EZ250" s="65"/>
      <c r="FA250" s="65"/>
      <c r="FB250" s="65"/>
      <c r="FC250" s="65"/>
      <c r="FD250" s="65"/>
      <c r="FE250" s="65"/>
      <c r="FF250" s="65"/>
      <c r="FG250" s="65"/>
      <c r="FH250" s="65"/>
      <c r="FI250" s="65"/>
      <c r="FJ250" s="65"/>
      <c r="FK250" s="65"/>
      <c r="FL250" s="65"/>
      <c r="FM250" s="65"/>
      <c r="FN250" s="65"/>
      <c r="FO250" s="65"/>
      <c r="FP250" s="65"/>
      <c r="FQ250" s="65"/>
      <c r="FR250" s="65"/>
      <c r="FS250" s="65"/>
      <c r="FT250" s="65"/>
      <c r="FU250" s="65"/>
    </row>
    <row r="251" spans="10:177" s="1" customFormat="1">
      <c r="J251" s="65"/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/>
      <c r="Z251" s="65"/>
      <c r="AA251" s="65"/>
      <c r="AB251" s="65"/>
      <c r="AC251" s="65"/>
      <c r="AD251" s="65"/>
      <c r="AE251" s="65"/>
      <c r="AF251" s="65"/>
      <c r="AG251" s="65"/>
      <c r="AH251" s="65"/>
      <c r="AI251" s="65"/>
      <c r="AJ251" s="65"/>
      <c r="AK251" s="65"/>
      <c r="AL251" s="65"/>
      <c r="AM251" s="65"/>
      <c r="AN251" s="65"/>
      <c r="AO251" s="65"/>
      <c r="AP251" s="65"/>
      <c r="AQ251" s="65"/>
      <c r="AR251" s="65"/>
      <c r="AS251" s="65"/>
      <c r="AT251" s="65"/>
      <c r="AU251" s="65"/>
      <c r="AV251" s="65"/>
      <c r="AW251" s="65"/>
      <c r="AX251" s="65"/>
      <c r="AY251" s="65"/>
      <c r="AZ251" s="65"/>
      <c r="BA251" s="65"/>
      <c r="BB251" s="65"/>
      <c r="BC251" s="65"/>
      <c r="BD251" s="65"/>
      <c r="BE251" s="65"/>
      <c r="BF251" s="65"/>
      <c r="BG251" s="65"/>
      <c r="BH251" s="65"/>
      <c r="BI251" s="65"/>
      <c r="BJ251" s="65"/>
      <c r="BK251" s="65"/>
      <c r="BL251" s="65"/>
      <c r="BM251" s="65"/>
      <c r="BN251" s="65"/>
      <c r="BO251" s="65"/>
      <c r="BP251" s="65"/>
      <c r="BQ251" s="65"/>
      <c r="BR251" s="65"/>
      <c r="BS251" s="65"/>
      <c r="BT251" s="65"/>
      <c r="BU251" s="65"/>
      <c r="BV251" s="65"/>
      <c r="BW251" s="65"/>
      <c r="BX251" s="65"/>
      <c r="BY251" s="65"/>
      <c r="BZ251" s="65"/>
      <c r="CA251" s="65"/>
      <c r="CB251" s="65"/>
      <c r="CC251" s="65"/>
      <c r="CD251" s="65"/>
      <c r="CE251" s="65"/>
      <c r="CF251" s="65"/>
      <c r="CG251" s="65"/>
      <c r="CH251" s="65"/>
      <c r="CI251" s="65"/>
      <c r="CJ251" s="65"/>
      <c r="CK251" s="65"/>
      <c r="CL251" s="65"/>
      <c r="CM251" s="65"/>
      <c r="CN251" s="65"/>
      <c r="CO251" s="65"/>
      <c r="CP251" s="65"/>
      <c r="CQ251" s="65"/>
      <c r="CR251" s="65"/>
      <c r="CS251" s="65"/>
      <c r="CT251" s="65"/>
      <c r="CU251" s="65"/>
      <c r="CV251" s="65"/>
      <c r="CW251" s="65"/>
      <c r="CX251" s="65"/>
      <c r="CY251" s="65"/>
      <c r="CZ251" s="65"/>
      <c r="DA251" s="65"/>
      <c r="DB251" s="65"/>
      <c r="DC251" s="65"/>
      <c r="DD251" s="65"/>
      <c r="DE251" s="65"/>
      <c r="DF251" s="65"/>
      <c r="DG251" s="65"/>
      <c r="DH251" s="65"/>
      <c r="DI251" s="65"/>
      <c r="DJ251" s="65"/>
      <c r="DK251" s="65"/>
      <c r="DL251" s="65"/>
      <c r="DM251" s="65"/>
      <c r="DN251" s="65"/>
      <c r="DO251" s="65"/>
      <c r="DP251" s="65"/>
      <c r="DQ251" s="65"/>
      <c r="DR251" s="65"/>
      <c r="DS251" s="65"/>
      <c r="DT251" s="65"/>
      <c r="DU251" s="65"/>
      <c r="DV251" s="65"/>
      <c r="DW251" s="65"/>
      <c r="DX251" s="65"/>
      <c r="DY251" s="65"/>
      <c r="DZ251" s="65"/>
      <c r="EA251" s="65"/>
      <c r="EB251" s="65"/>
      <c r="EC251" s="65"/>
      <c r="ED251" s="65"/>
      <c r="EE251" s="65"/>
      <c r="EF251" s="65"/>
      <c r="EG251" s="65"/>
      <c r="EH251" s="65"/>
      <c r="EI251" s="65"/>
      <c r="EJ251" s="65"/>
      <c r="EK251" s="65"/>
      <c r="EL251" s="65"/>
      <c r="EM251" s="65"/>
      <c r="EN251" s="65"/>
      <c r="EO251" s="65"/>
      <c r="EP251" s="65"/>
      <c r="EQ251" s="65"/>
      <c r="ER251" s="65"/>
      <c r="ES251" s="65"/>
      <c r="ET251" s="65"/>
      <c r="EU251" s="65"/>
      <c r="EV251" s="65"/>
      <c r="EW251" s="65"/>
      <c r="EX251" s="65"/>
      <c r="EY251" s="65"/>
      <c r="EZ251" s="65"/>
      <c r="FA251" s="65"/>
      <c r="FB251" s="65"/>
      <c r="FC251" s="65"/>
      <c r="FD251" s="65"/>
      <c r="FE251" s="65"/>
      <c r="FF251" s="65"/>
      <c r="FG251" s="65"/>
      <c r="FH251" s="65"/>
      <c r="FI251" s="65"/>
      <c r="FJ251" s="65"/>
      <c r="FK251" s="65"/>
      <c r="FL251" s="65"/>
      <c r="FM251" s="65"/>
      <c r="FN251" s="65"/>
      <c r="FO251" s="65"/>
      <c r="FP251" s="65"/>
      <c r="FQ251" s="65"/>
      <c r="FR251" s="65"/>
      <c r="FS251" s="65"/>
      <c r="FT251" s="65"/>
      <c r="FU251" s="65"/>
    </row>
    <row r="252" spans="10:177" s="1" customFormat="1"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/>
      <c r="Z252" s="65"/>
      <c r="AA252" s="65"/>
      <c r="AB252" s="65"/>
      <c r="AC252" s="65"/>
      <c r="AD252" s="65"/>
      <c r="AE252" s="65"/>
      <c r="AF252" s="65"/>
      <c r="AG252" s="65"/>
      <c r="AH252" s="65"/>
      <c r="AI252" s="65"/>
      <c r="AJ252" s="65"/>
      <c r="AK252" s="65"/>
      <c r="AL252" s="65"/>
      <c r="AM252" s="65"/>
      <c r="AN252" s="65"/>
      <c r="AO252" s="65"/>
      <c r="AP252" s="65"/>
      <c r="AQ252" s="65"/>
      <c r="AR252" s="65"/>
      <c r="AS252" s="65"/>
      <c r="AT252" s="65"/>
      <c r="AU252" s="65"/>
      <c r="AV252" s="65"/>
      <c r="AW252" s="65"/>
      <c r="AX252" s="65"/>
      <c r="AY252" s="65"/>
      <c r="AZ252" s="65"/>
      <c r="BA252" s="65"/>
      <c r="BB252" s="65"/>
      <c r="BC252" s="65"/>
      <c r="BD252" s="65"/>
      <c r="BE252" s="65"/>
      <c r="BF252" s="65"/>
      <c r="BG252" s="65"/>
      <c r="BH252" s="65"/>
      <c r="BI252" s="65"/>
      <c r="BJ252" s="65"/>
      <c r="BK252" s="65"/>
      <c r="BL252" s="65"/>
      <c r="BM252" s="65"/>
      <c r="BN252" s="65"/>
      <c r="BO252" s="65"/>
      <c r="BP252" s="65"/>
      <c r="BQ252" s="65"/>
      <c r="BR252" s="65"/>
      <c r="BS252" s="65"/>
      <c r="BT252" s="65"/>
      <c r="BU252" s="65"/>
      <c r="BV252" s="65"/>
      <c r="BW252" s="65"/>
      <c r="BX252" s="65"/>
      <c r="BY252" s="65"/>
      <c r="BZ252" s="65"/>
      <c r="CA252" s="65"/>
      <c r="CB252" s="65"/>
      <c r="CC252" s="65"/>
      <c r="CD252" s="65"/>
      <c r="CE252" s="65"/>
      <c r="CF252" s="65"/>
      <c r="CG252" s="65"/>
      <c r="CH252" s="65"/>
      <c r="CI252" s="65"/>
      <c r="CJ252" s="65"/>
      <c r="CK252" s="65"/>
      <c r="CL252" s="65"/>
      <c r="CM252" s="65"/>
      <c r="CN252" s="65"/>
      <c r="CO252" s="65"/>
      <c r="CP252" s="65"/>
      <c r="CQ252" s="65"/>
      <c r="CR252" s="65"/>
      <c r="CS252" s="65"/>
      <c r="CT252" s="65"/>
      <c r="CU252" s="65"/>
      <c r="CV252" s="65"/>
      <c r="CW252" s="65"/>
      <c r="CX252" s="65"/>
      <c r="CY252" s="65"/>
      <c r="CZ252" s="65"/>
      <c r="DA252" s="65"/>
      <c r="DB252" s="65"/>
      <c r="DC252" s="65"/>
      <c r="DD252" s="65"/>
      <c r="DE252" s="65"/>
      <c r="DF252" s="65"/>
      <c r="DG252" s="65"/>
      <c r="DH252" s="65"/>
      <c r="DI252" s="65"/>
      <c r="DJ252" s="65"/>
      <c r="DK252" s="65"/>
      <c r="DL252" s="65"/>
      <c r="DM252" s="65"/>
      <c r="DN252" s="65"/>
      <c r="DO252" s="65"/>
      <c r="DP252" s="65"/>
      <c r="DQ252" s="65"/>
      <c r="DR252" s="65"/>
      <c r="DS252" s="65"/>
      <c r="DT252" s="65"/>
      <c r="DU252" s="65"/>
      <c r="DV252" s="65"/>
      <c r="DW252" s="65"/>
      <c r="DX252" s="65"/>
      <c r="DY252" s="65"/>
      <c r="DZ252" s="65"/>
      <c r="EA252" s="65"/>
      <c r="EB252" s="65"/>
      <c r="EC252" s="65"/>
      <c r="ED252" s="65"/>
      <c r="EE252" s="65"/>
      <c r="EF252" s="65"/>
      <c r="EG252" s="65"/>
      <c r="EH252" s="65"/>
      <c r="EI252" s="65"/>
      <c r="EJ252" s="65"/>
      <c r="EK252" s="65"/>
      <c r="EL252" s="65"/>
      <c r="EM252" s="65"/>
      <c r="EN252" s="65"/>
      <c r="EO252" s="65"/>
      <c r="EP252" s="65"/>
      <c r="EQ252" s="65"/>
      <c r="ER252" s="65"/>
      <c r="ES252" s="65"/>
      <c r="ET252" s="65"/>
      <c r="EU252" s="65"/>
      <c r="EV252" s="65"/>
      <c r="EW252" s="65"/>
      <c r="EX252" s="65"/>
      <c r="EY252" s="65"/>
      <c r="EZ252" s="65"/>
      <c r="FA252" s="65"/>
      <c r="FB252" s="65"/>
      <c r="FC252" s="65"/>
      <c r="FD252" s="65"/>
      <c r="FE252" s="65"/>
      <c r="FF252" s="65"/>
      <c r="FG252" s="65"/>
      <c r="FH252" s="65"/>
      <c r="FI252" s="65"/>
      <c r="FJ252" s="65"/>
      <c r="FK252" s="65"/>
      <c r="FL252" s="65"/>
      <c r="FM252" s="65"/>
      <c r="FN252" s="65"/>
      <c r="FO252" s="65"/>
      <c r="FP252" s="65"/>
      <c r="FQ252" s="65"/>
      <c r="FR252" s="65"/>
      <c r="FS252" s="65"/>
      <c r="FT252" s="65"/>
      <c r="FU252" s="65"/>
    </row>
    <row r="253" spans="10:177" s="1" customFormat="1">
      <c r="J253" s="65"/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  <c r="Y253" s="65"/>
      <c r="Z253" s="65"/>
      <c r="AA253" s="65"/>
      <c r="AB253" s="65"/>
      <c r="AC253" s="65"/>
      <c r="AD253" s="65"/>
      <c r="AE253" s="65"/>
      <c r="AF253" s="65"/>
      <c r="AG253" s="65"/>
      <c r="AH253" s="65"/>
      <c r="AI253" s="65"/>
      <c r="AJ253" s="65"/>
      <c r="AK253" s="65"/>
      <c r="AL253" s="65"/>
      <c r="AM253" s="65"/>
      <c r="AN253" s="65"/>
      <c r="AO253" s="65"/>
      <c r="AP253" s="65"/>
      <c r="AQ253" s="65"/>
      <c r="AR253" s="65"/>
      <c r="AS253" s="65"/>
      <c r="AT253" s="65"/>
      <c r="AU253" s="65"/>
      <c r="AV253" s="65"/>
      <c r="AW253" s="65"/>
      <c r="AX253" s="65"/>
      <c r="AY253" s="65"/>
      <c r="AZ253" s="65"/>
      <c r="BA253" s="65"/>
      <c r="BB253" s="65"/>
      <c r="BC253" s="65"/>
      <c r="BD253" s="65"/>
      <c r="BE253" s="65"/>
      <c r="BF253" s="65"/>
      <c r="BG253" s="65"/>
      <c r="BH253" s="65"/>
      <c r="BI253" s="65"/>
      <c r="BJ253" s="65"/>
      <c r="BK253" s="65"/>
      <c r="BL253" s="65"/>
      <c r="BM253" s="65"/>
      <c r="BN253" s="65"/>
      <c r="BO253" s="65"/>
      <c r="BP253" s="65"/>
      <c r="BQ253" s="65"/>
      <c r="BR253" s="65"/>
      <c r="BS253" s="65"/>
      <c r="BT253" s="65"/>
      <c r="BU253" s="65"/>
      <c r="BV253" s="65"/>
      <c r="BW253" s="65"/>
      <c r="BX253" s="65"/>
      <c r="BY253" s="65"/>
      <c r="BZ253" s="65"/>
      <c r="CA253" s="65"/>
      <c r="CB253" s="65"/>
      <c r="CC253" s="65"/>
      <c r="CD253" s="65"/>
      <c r="CE253" s="65"/>
      <c r="CF253" s="65"/>
      <c r="CG253" s="65"/>
      <c r="CH253" s="65"/>
      <c r="CI253" s="65"/>
      <c r="CJ253" s="65"/>
      <c r="CK253" s="65"/>
      <c r="CL253" s="65"/>
      <c r="CM253" s="65"/>
      <c r="CN253" s="65"/>
      <c r="CO253" s="65"/>
      <c r="CP253" s="65"/>
      <c r="CQ253" s="65"/>
      <c r="CR253" s="65"/>
      <c r="CS253" s="65"/>
      <c r="CT253" s="65"/>
      <c r="CU253" s="65"/>
      <c r="CV253" s="65"/>
      <c r="CW253" s="65"/>
      <c r="CX253" s="65"/>
      <c r="CY253" s="65"/>
      <c r="CZ253" s="65"/>
      <c r="DA253" s="65"/>
      <c r="DB253" s="65"/>
      <c r="DC253" s="65"/>
      <c r="DD253" s="65"/>
      <c r="DE253" s="65"/>
      <c r="DF253" s="65"/>
      <c r="DG253" s="65"/>
      <c r="DH253" s="65"/>
      <c r="DI253" s="65"/>
      <c r="DJ253" s="65"/>
      <c r="DK253" s="65"/>
      <c r="DL253" s="65"/>
      <c r="DM253" s="65"/>
      <c r="DN253" s="65"/>
      <c r="DO253" s="65"/>
      <c r="DP253" s="65"/>
      <c r="DQ253" s="65"/>
      <c r="DR253" s="65"/>
      <c r="DS253" s="65"/>
      <c r="DT253" s="65"/>
      <c r="DU253" s="65"/>
      <c r="DV253" s="65"/>
      <c r="DW253" s="65"/>
      <c r="DX253" s="65"/>
      <c r="DY253" s="65"/>
      <c r="DZ253" s="65"/>
      <c r="EA253" s="65"/>
      <c r="EB253" s="65"/>
      <c r="EC253" s="65"/>
      <c r="ED253" s="65"/>
      <c r="EE253" s="65"/>
      <c r="EF253" s="65"/>
      <c r="EG253" s="65"/>
      <c r="EH253" s="65"/>
      <c r="EI253" s="65"/>
      <c r="EJ253" s="65"/>
      <c r="EK253" s="65"/>
      <c r="EL253" s="65"/>
      <c r="EM253" s="65"/>
      <c r="EN253" s="65"/>
      <c r="EO253" s="65"/>
      <c r="EP253" s="65"/>
      <c r="EQ253" s="65"/>
      <c r="ER253" s="65"/>
      <c r="ES253" s="65"/>
      <c r="ET253" s="65"/>
      <c r="EU253" s="65"/>
      <c r="EV253" s="65"/>
      <c r="EW253" s="65"/>
      <c r="EX253" s="65"/>
      <c r="EY253" s="65"/>
      <c r="EZ253" s="65"/>
      <c r="FA253" s="65"/>
      <c r="FB253" s="65"/>
      <c r="FC253" s="65"/>
      <c r="FD253" s="65"/>
      <c r="FE253" s="65"/>
      <c r="FF253" s="65"/>
      <c r="FG253" s="65"/>
      <c r="FH253" s="65"/>
      <c r="FI253" s="65"/>
      <c r="FJ253" s="65"/>
      <c r="FK253" s="65"/>
      <c r="FL253" s="65"/>
      <c r="FM253" s="65"/>
      <c r="FN253" s="65"/>
      <c r="FO253" s="65"/>
      <c r="FP253" s="65"/>
      <c r="FQ253" s="65"/>
      <c r="FR253" s="65"/>
      <c r="FS253" s="65"/>
      <c r="FT253" s="65"/>
      <c r="FU253" s="65"/>
    </row>
    <row r="254" spans="10:177" s="1" customFormat="1"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/>
      <c r="Y254" s="65"/>
      <c r="Z254" s="65"/>
      <c r="AA254" s="65"/>
      <c r="AB254" s="65"/>
      <c r="AC254" s="65"/>
      <c r="AD254" s="65"/>
      <c r="AE254" s="65"/>
      <c r="AF254" s="65"/>
      <c r="AG254" s="65"/>
      <c r="AH254" s="65"/>
      <c r="AI254" s="65"/>
      <c r="AJ254" s="65"/>
      <c r="AK254" s="65"/>
      <c r="AL254" s="65"/>
      <c r="AM254" s="65"/>
      <c r="AN254" s="65"/>
      <c r="AO254" s="65"/>
      <c r="AP254" s="65"/>
      <c r="AQ254" s="65"/>
      <c r="AR254" s="65"/>
      <c r="AS254" s="65"/>
      <c r="AT254" s="65"/>
      <c r="AU254" s="65"/>
      <c r="AV254" s="65"/>
      <c r="AW254" s="65"/>
      <c r="AX254" s="65"/>
      <c r="AY254" s="65"/>
      <c r="AZ254" s="65"/>
      <c r="BA254" s="65"/>
      <c r="BB254" s="65"/>
      <c r="BC254" s="65"/>
      <c r="BD254" s="65"/>
      <c r="BE254" s="65"/>
      <c r="BF254" s="65"/>
      <c r="BG254" s="65"/>
      <c r="BH254" s="65"/>
      <c r="BI254" s="65"/>
      <c r="BJ254" s="65"/>
      <c r="BK254" s="65"/>
      <c r="BL254" s="65"/>
      <c r="BM254" s="65"/>
      <c r="BN254" s="65"/>
      <c r="BO254" s="65"/>
      <c r="BP254" s="65"/>
      <c r="BQ254" s="65"/>
      <c r="BR254" s="65"/>
      <c r="BS254" s="65"/>
      <c r="BT254" s="65"/>
      <c r="BU254" s="65"/>
      <c r="BV254" s="65"/>
      <c r="BW254" s="65"/>
      <c r="BX254" s="65"/>
      <c r="BY254" s="65"/>
      <c r="BZ254" s="65"/>
      <c r="CA254" s="65"/>
      <c r="CB254" s="65"/>
      <c r="CC254" s="65"/>
      <c r="CD254" s="65"/>
      <c r="CE254" s="65"/>
      <c r="CF254" s="65"/>
      <c r="CG254" s="65"/>
      <c r="CH254" s="65"/>
      <c r="CI254" s="65"/>
      <c r="CJ254" s="65"/>
      <c r="CK254" s="65"/>
      <c r="CL254" s="65"/>
      <c r="CM254" s="65"/>
      <c r="CN254" s="65"/>
      <c r="CO254" s="65"/>
      <c r="CP254" s="65"/>
      <c r="CQ254" s="65"/>
      <c r="CR254" s="65"/>
      <c r="CS254" s="65"/>
      <c r="CT254" s="65"/>
      <c r="CU254" s="65"/>
      <c r="CV254" s="65"/>
      <c r="CW254" s="65"/>
      <c r="CX254" s="65"/>
      <c r="CY254" s="65"/>
      <c r="CZ254" s="65"/>
      <c r="DA254" s="65"/>
      <c r="DB254" s="65"/>
      <c r="DC254" s="65"/>
      <c r="DD254" s="65"/>
      <c r="DE254" s="65"/>
      <c r="DF254" s="65"/>
      <c r="DG254" s="65"/>
      <c r="DH254" s="65"/>
      <c r="DI254" s="65"/>
      <c r="DJ254" s="65"/>
      <c r="DK254" s="65"/>
      <c r="DL254" s="65"/>
      <c r="DM254" s="65"/>
      <c r="DN254" s="65"/>
      <c r="DO254" s="65"/>
      <c r="DP254" s="65"/>
      <c r="DQ254" s="65"/>
      <c r="DR254" s="65"/>
      <c r="DS254" s="65"/>
      <c r="DT254" s="65"/>
      <c r="DU254" s="65"/>
      <c r="DV254" s="65"/>
      <c r="DW254" s="65"/>
      <c r="DX254" s="65"/>
      <c r="DY254" s="65"/>
      <c r="DZ254" s="65"/>
      <c r="EA254" s="65"/>
      <c r="EB254" s="65"/>
      <c r="EC254" s="65"/>
      <c r="ED254" s="65"/>
      <c r="EE254" s="65"/>
      <c r="EF254" s="65"/>
      <c r="EG254" s="65"/>
      <c r="EH254" s="65"/>
      <c r="EI254" s="65"/>
      <c r="EJ254" s="65"/>
      <c r="EK254" s="65"/>
      <c r="EL254" s="65"/>
      <c r="EM254" s="65"/>
      <c r="EN254" s="65"/>
      <c r="EO254" s="65"/>
      <c r="EP254" s="65"/>
      <c r="EQ254" s="65"/>
      <c r="ER254" s="65"/>
      <c r="ES254" s="65"/>
      <c r="ET254" s="65"/>
      <c r="EU254" s="65"/>
      <c r="EV254" s="65"/>
      <c r="EW254" s="65"/>
      <c r="EX254" s="65"/>
      <c r="EY254" s="65"/>
      <c r="EZ254" s="65"/>
      <c r="FA254" s="65"/>
      <c r="FB254" s="65"/>
      <c r="FC254" s="65"/>
      <c r="FD254" s="65"/>
      <c r="FE254" s="65"/>
      <c r="FF254" s="65"/>
      <c r="FG254" s="65"/>
      <c r="FH254" s="65"/>
      <c r="FI254" s="65"/>
      <c r="FJ254" s="65"/>
      <c r="FK254" s="65"/>
      <c r="FL254" s="65"/>
      <c r="FM254" s="65"/>
      <c r="FN254" s="65"/>
      <c r="FO254" s="65"/>
      <c r="FP254" s="65"/>
      <c r="FQ254" s="65"/>
      <c r="FR254" s="65"/>
      <c r="FS254" s="65"/>
      <c r="FT254" s="65"/>
      <c r="FU254" s="65"/>
    </row>
    <row r="255" spans="10:177" s="1" customFormat="1"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  <c r="Z255" s="65"/>
      <c r="AA255" s="65"/>
      <c r="AB255" s="65"/>
      <c r="AC255" s="65"/>
      <c r="AD255" s="65"/>
      <c r="AE255" s="65"/>
      <c r="AF255" s="65"/>
      <c r="AG255" s="65"/>
      <c r="AH255" s="65"/>
      <c r="AI255" s="65"/>
      <c r="AJ255" s="65"/>
      <c r="AK255" s="65"/>
      <c r="AL255" s="65"/>
      <c r="AM255" s="65"/>
      <c r="AN255" s="65"/>
      <c r="AO255" s="65"/>
      <c r="AP255" s="65"/>
      <c r="AQ255" s="65"/>
      <c r="AR255" s="65"/>
      <c r="AS255" s="65"/>
      <c r="AT255" s="65"/>
      <c r="AU255" s="65"/>
      <c r="AV255" s="65"/>
      <c r="AW255" s="65"/>
      <c r="AX255" s="65"/>
      <c r="AY255" s="65"/>
      <c r="AZ255" s="65"/>
      <c r="BA255" s="65"/>
      <c r="BB255" s="65"/>
      <c r="BC255" s="65"/>
      <c r="BD255" s="65"/>
      <c r="BE255" s="65"/>
      <c r="BF255" s="65"/>
      <c r="BG255" s="65"/>
      <c r="BH255" s="65"/>
      <c r="BI255" s="65"/>
      <c r="BJ255" s="65"/>
      <c r="BK255" s="65"/>
      <c r="BL255" s="65"/>
      <c r="BM255" s="65"/>
      <c r="BN255" s="65"/>
      <c r="BO255" s="65"/>
      <c r="BP255" s="65"/>
      <c r="BQ255" s="65"/>
      <c r="BR255" s="65"/>
      <c r="BS255" s="65"/>
      <c r="BT255" s="65"/>
      <c r="BU255" s="65"/>
      <c r="BV255" s="65"/>
      <c r="BW255" s="65"/>
      <c r="BX255" s="65"/>
      <c r="BY255" s="65"/>
      <c r="BZ255" s="65"/>
      <c r="CA255" s="65"/>
      <c r="CB255" s="65"/>
      <c r="CC255" s="65"/>
      <c r="CD255" s="65"/>
      <c r="CE255" s="65"/>
      <c r="CF255" s="65"/>
      <c r="CG255" s="65"/>
      <c r="CH255" s="65"/>
      <c r="CI255" s="65"/>
      <c r="CJ255" s="65"/>
      <c r="CK255" s="65"/>
      <c r="CL255" s="65"/>
      <c r="CM255" s="65"/>
      <c r="CN255" s="65"/>
      <c r="CO255" s="65"/>
      <c r="CP255" s="65"/>
      <c r="CQ255" s="65"/>
      <c r="CR255" s="65"/>
      <c r="CS255" s="65"/>
      <c r="CT255" s="65"/>
      <c r="CU255" s="65"/>
      <c r="CV255" s="65"/>
      <c r="CW255" s="65"/>
      <c r="CX255" s="65"/>
      <c r="CY255" s="65"/>
      <c r="CZ255" s="65"/>
      <c r="DA255" s="65"/>
      <c r="DB255" s="65"/>
      <c r="DC255" s="65"/>
      <c r="DD255" s="65"/>
      <c r="DE255" s="65"/>
      <c r="DF255" s="65"/>
      <c r="DG255" s="65"/>
      <c r="DH255" s="65"/>
      <c r="DI255" s="65"/>
      <c r="DJ255" s="65"/>
      <c r="DK255" s="65"/>
      <c r="DL255" s="65"/>
      <c r="DM255" s="65"/>
      <c r="DN255" s="65"/>
      <c r="DO255" s="65"/>
      <c r="DP255" s="65"/>
      <c r="DQ255" s="65"/>
      <c r="DR255" s="65"/>
      <c r="DS255" s="65"/>
      <c r="DT255" s="65"/>
      <c r="DU255" s="65"/>
      <c r="DV255" s="65"/>
      <c r="DW255" s="65"/>
      <c r="DX255" s="65"/>
      <c r="DY255" s="65"/>
      <c r="DZ255" s="65"/>
      <c r="EA255" s="65"/>
      <c r="EB255" s="65"/>
      <c r="EC255" s="65"/>
      <c r="ED255" s="65"/>
      <c r="EE255" s="65"/>
      <c r="EF255" s="65"/>
      <c r="EG255" s="65"/>
      <c r="EH255" s="65"/>
      <c r="EI255" s="65"/>
      <c r="EJ255" s="65"/>
      <c r="EK255" s="65"/>
      <c r="EL255" s="65"/>
      <c r="EM255" s="65"/>
      <c r="EN255" s="65"/>
      <c r="EO255" s="65"/>
      <c r="EP255" s="65"/>
      <c r="EQ255" s="65"/>
      <c r="ER255" s="65"/>
      <c r="ES255" s="65"/>
      <c r="ET255" s="65"/>
      <c r="EU255" s="65"/>
      <c r="EV255" s="65"/>
      <c r="EW255" s="65"/>
      <c r="EX255" s="65"/>
      <c r="EY255" s="65"/>
      <c r="EZ255" s="65"/>
      <c r="FA255" s="65"/>
      <c r="FB255" s="65"/>
      <c r="FC255" s="65"/>
      <c r="FD255" s="65"/>
      <c r="FE255" s="65"/>
      <c r="FF255" s="65"/>
      <c r="FG255" s="65"/>
      <c r="FH255" s="65"/>
      <c r="FI255" s="65"/>
      <c r="FJ255" s="65"/>
      <c r="FK255" s="65"/>
      <c r="FL255" s="65"/>
      <c r="FM255" s="65"/>
      <c r="FN255" s="65"/>
      <c r="FO255" s="65"/>
      <c r="FP255" s="65"/>
      <c r="FQ255" s="65"/>
      <c r="FR255" s="65"/>
      <c r="FS255" s="65"/>
      <c r="FT255" s="65"/>
      <c r="FU255" s="65"/>
    </row>
    <row r="256" spans="10:177" s="1" customFormat="1">
      <c r="J256" s="65"/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5"/>
      <c r="Y256" s="65"/>
      <c r="Z256" s="65"/>
      <c r="AA256" s="65"/>
      <c r="AB256" s="65"/>
      <c r="AC256" s="65"/>
      <c r="AD256" s="65"/>
      <c r="AE256" s="65"/>
      <c r="AF256" s="65"/>
      <c r="AG256" s="65"/>
      <c r="AH256" s="65"/>
      <c r="AI256" s="65"/>
      <c r="AJ256" s="65"/>
      <c r="AK256" s="65"/>
      <c r="AL256" s="65"/>
      <c r="AM256" s="65"/>
      <c r="AN256" s="65"/>
      <c r="AO256" s="65"/>
      <c r="AP256" s="65"/>
      <c r="AQ256" s="65"/>
      <c r="AR256" s="65"/>
      <c r="AS256" s="65"/>
      <c r="AT256" s="65"/>
      <c r="AU256" s="65"/>
      <c r="AV256" s="65"/>
      <c r="AW256" s="65"/>
      <c r="AX256" s="65"/>
      <c r="AY256" s="65"/>
      <c r="AZ256" s="65"/>
      <c r="BA256" s="65"/>
      <c r="BB256" s="65"/>
      <c r="BC256" s="65"/>
      <c r="BD256" s="65"/>
      <c r="BE256" s="65"/>
      <c r="BF256" s="65"/>
      <c r="BG256" s="65"/>
      <c r="BH256" s="65"/>
      <c r="BI256" s="65"/>
      <c r="BJ256" s="65"/>
      <c r="BK256" s="65"/>
      <c r="BL256" s="65"/>
      <c r="BM256" s="65"/>
      <c r="BN256" s="65"/>
      <c r="BO256" s="65"/>
      <c r="BP256" s="65"/>
      <c r="BQ256" s="65"/>
      <c r="BR256" s="65"/>
      <c r="BS256" s="65"/>
      <c r="BT256" s="65"/>
      <c r="BU256" s="65"/>
      <c r="BV256" s="65"/>
      <c r="BW256" s="65"/>
      <c r="BX256" s="65"/>
      <c r="BY256" s="65"/>
      <c r="BZ256" s="65"/>
      <c r="CA256" s="65"/>
      <c r="CB256" s="65"/>
      <c r="CC256" s="65"/>
      <c r="CD256" s="65"/>
      <c r="CE256" s="65"/>
      <c r="CF256" s="65"/>
      <c r="CG256" s="65"/>
      <c r="CH256" s="65"/>
      <c r="CI256" s="65"/>
      <c r="CJ256" s="65"/>
      <c r="CK256" s="65"/>
      <c r="CL256" s="65"/>
      <c r="CM256" s="65"/>
      <c r="CN256" s="65"/>
      <c r="CO256" s="65"/>
      <c r="CP256" s="65"/>
      <c r="CQ256" s="65"/>
      <c r="CR256" s="65"/>
      <c r="CS256" s="65"/>
      <c r="CT256" s="65"/>
      <c r="CU256" s="65"/>
      <c r="CV256" s="65"/>
      <c r="CW256" s="65"/>
      <c r="CX256" s="65"/>
      <c r="CY256" s="65"/>
      <c r="CZ256" s="65"/>
      <c r="DA256" s="65"/>
      <c r="DB256" s="65"/>
      <c r="DC256" s="65"/>
      <c r="DD256" s="65"/>
      <c r="DE256" s="65"/>
      <c r="DF256" s="65"/>
      <c r="DG256" s="65"/>
      <c r="DH256" s="65"/>
      <c r="DI256" s="65"/>
      <c r="DJ256" s="65"/>
      <c r="DK256" s="65"/>
      <c r="DL256" s="65"/>
      <c r="DM256" s="65"/>
      <c r="DN256" s="65"/>
      <c r="DO256" s="65"/>
      <c r="DP256" s="65"/>
      <c r="DQ256" s="65"/>
      <c r="DR256" s="65"/>
      <c r="DS256" s="65"/>
      <c r="DT256" s="65"/>
      <c r="DU256" s="65"/>
      <c r="DV256" s="65"/>
      <c r="DW256" s="65"/>
      <c r="DX256" s="65"/>
      <c r="DY256" s="65"/>
      <c r="DZ256" s="65"/>
      <c r="EA256" s="65"/>
      <c r="EB256" s="65"/>
      <c r="EC256" s="65"/>
      <c r="ED256" s="65"/>
      <c r="EE256" s="65"/>
      <c r="EF256" s="65"/>
      <c r="EG256" s="65"/>
      <c r="EH256" s="65"/>
      <c r="EI256" s="65"/>
      <c r="EJ256" s="65"/>
      <c r="EK256" s="65"/>
      <c r="EL256" s="65"/>
      <c r="EM256" s="65"/>
      <c r="EN256" s="65"/>
      <c r="EO256" s="65"/>
      <c r="EP256" s="65"/>
      <c r="EQ256" s="65"/>
      <c r="ER256" s="65"/>
      <c r="ES256" s="65"/>
      <c r="ET256" s="65"/>
      <c r="EU256" s="65"/>
      <c r="EV256" s="65"/>
      <c r="EW256" s="65"/>
      <c r="EX256" s="65"/>
      <c r="EY256" s="65"/>
      <c r="EZ256" s="65"/>
      <c r="FA256" s="65"/>
      <c r="FB256" s="65"/>
      <c r="FC256" s="65"/>
      <c r="FD256" s="65"/>
      <c r="FE256" s="65"/>
      <c r="FF256" s="65"/>
      <c r="FG256" s="65"/>
      <c r="FH256" s="65"/>
      <c r="FI256" s="65"/>
      <c r="FJ256" s="65"/>
      <c r="FK256" s="65"/>
      <c r="FL256" s="65"/>
      <c r="FM256" s="65"/>
      <c r="FN256" s="65"/>
      <c r="FO256" s="65"/>
      <c r="FP256" s="65"/>
      <c r="FQ256" s="65"/>
      <c r="FR256" s="65"/>
      <c r="FS256" s="65"/>
      <c r="FT256" s="65"/>
      <c r="FU256" s="65"/>
    </row>
    <row r="257" spans="10:177" s="1" customFormat="1"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65"/>
      <c r="Z257" s="65"/>
      <c r="AA257" s="65"/>
      <c r="AB257" s="65"/>
      <c r="AC257" s="65"/>
      <c r="AD257" s="65"/>
      <c r="AE257" s="65"/>
      <c r="AF257" s="65"/>
      <c r="AG257" s="65"/>
      <c r="AH257" s="65"/>
      <c r="AI257" s="65"/>
      <c r="AJ257" s="65"/>
      <c r="AK257" s="65"/>
      <c r="AL257" s="65"/>
      <c r="AM257" s="65"/>
      <c r="AN257" s="65"/>
      <c r="AO257" s="65"/>
      <c r="AP257" s="65"/>
      <c r="AQ257" s="65"/>
      <c r="AR257" s="65"/>
      <c r="AS257" s="65"/>
      <c r="AT257" s="65"/>
      <c r="AU257" s="65"/>
      <c r="AV257" s="65"/>
      <c r="AW257" s="65"/>
      <c r="AX257" s="65"/>
      <c r="AY257" s="65"/>
      <c r="AZ257" s="65"/>
      <c r="BA257" s="65"/>
      <c r="BB257" s="65"/>
      <c r="BC257" s="65"/>
      <c r="BD257" s="65"/>
      <c r="BE257" s="65"/>
      <c r="BF257" s="65"/>
      <c r="BG257" s="65"/>
      <c r="BH257" s="65"/>
      <c r="BI257" s="65"/>
      <c r="BJ257" s="65"/>
      <c r="BK257" s="65"/>
      <c r="BL257" s="65"/>
      <c r="BM257" s="65"/>
      <c r="BN257" s="65"/>
      <c r="BO257" s="65"/>
      <c r="BP257" s="65"/>
      <c r="BQ257" s="65"/>
      <c r="BR257" s="65"/>
      <c r="BS257" s="65"/>
      <c r="BT257" s="65"/>
      <c r="BU257" s="65"/>
      <c r="BV257" s="65"/>
      <c r="BW257" s="65"/>
      <c r="BX257" s="65"/>
      <c r="BY257" s="65"/>
      <c r="BZ257" s="65"/>
      <c r="CA257" s="65"/>
      <c r="CB257" s="65"/>
      <c r="CC257" s="65"/>
      <c r="CD257" s="65"/>
      <c r="CE257" s="65"/>
      <c r="CF257" s="65"/>
      <c r="CG257" s="65"/>
      <c r="CH257" s="65"/>
      <c r="CI257" s="65"/>
      <c r="CJ257" s="65"/>
      <c r="CK257" s="65"/>
      <c r="CL257" s="65"/>
      <c r="CM257" s="65"/>
      <c r="CN257" s="65"/>
      <c r="CO257" s="65"/>
      <c r="CP257" s="65"/>
      <c r="CQ257" s="65"/>
      <c r="CR257" s="65"/>
      <c r="CS257" s="65"/>
      <c r="CT257" s="65"/>
      <c r="CU257" s="65"/>
      <c r="CV257" s="65"/>
      <c r="CW257" s="65"/>
      <c r="CX257" s="65"/>
      <c r="CY257" s="65"/>
      <c r="CZ257" s="65"/>
      <c r="DA257" s="65"/>
      <c r="DB257" s="65"/>
      <c r="DC257" s="65"/>
      <c r="DD257" s="65"/>
      <c r="DE257" s="65"/>
      <c r="DF257" s="65"/>
      <c r="DG257" s="65"/>
      <c r="DH257" s="65"/>
      <c r="DI257" s="65"/>
      <c r="DJ257" s="65"/>
      <c r="DK257" s="65"/>
      <c r="DL257" s="65"/>
      <c r="DM257" s="65"/>
      <c r="DN257" s="65"/>
      <c r="DO257" s="65"/>
      <c r="DP257" s="65"/>
      <c r="DQ257" s="65"/>
      <c r="DR257" s="65"/>
      <c r="DS257" s="65"/>
      <c r="DT257" s="65"/>
      <c r="DU257" s="65"/>
      <c r="DV257" s="65"/>
      <c r="DW257" s="65"/>
      <c r="DX257" s="65"/>
      <c r="DY257" s="65"/>
      <c r="DZ257" s="65"/>
      <c r="EA257" s="65"/>
      <c r="EB257" s="65"/>
      <c r="EC257" s="65"/>
      <c r="ED257" s="65"/>
      <c r="EE257" s="65"/>
      <c r="EF257" s="65"/>
      <c r="EG257" s="65"/>
      <c r="EH257" s="65"/>
      <c r="EI257" s="65"/>
      <c r="EJ257" s="65"/>
      <c r="EK257" s="65"/>
      <c r="EL257" s="65"/>
      <c r="EM257" s="65"/>
      <c r="EN257" s="65"/>
      <c r="EO257" s="65"/>
      <c r="EP257" s="65"/>
      <c r="EQ257" s="65"/>
      <c r="ER257" s="65"/>
      <c r="ES257" s="65"/>
      <c r="ET257" s="65"/>
      <c r="EU257" s="65"/>
      <c r="EV257" s="65"/>
      <c r="EW257" s="65"/>
      <c r="EX257" s="65"/>
      <c r="EY257" s="65"/>
      <c r="EZ257" s="65"/>
      <c r="FA257" s="65"/>
      <c r="FB257" s="65"/>
      <c r="FC257" s="65"/>
      <c r="FD257" s="65"/>
      <c r="FE257" s="65"/>
      <c r="FF257" s="65"/>
      <c r="FG257" s="65"/>
      <c r="FH257" s="65"/>
      <c r="FI257" s="65"/>
      <c r="FJ257" s="65"/>
      <c r="FK257" s="65"/>
      <c r="FL257" s="65"/>
      <c r="FM257" s="65"/>
      <c r="FN257" s="65"/>
      <c r="FO257" s="65"/>
      <c r="FP257" s="65"/>
      <c r="FQ257" s="65"/>
      <c r="FR257" s="65"/>
      <c r="FS257" s="65"/>
      <c r="FT257" s="65"/>
      <c r="FU257" s="65"/>
    </row>
    <row r="258" spans="10:177" s="1" customFormat="1">
      <c r="J258" s="65"/>
      <c r="K258" s="65"/>
      <c r="L258" s="65"/>
      <c r="M258" s="65"/>
      <c r="N258" s="65"/>
      <c r="O258" s="65"/>
      <c r="P258" s="65"/>
      <c r="Q258" s="65"/>
      <c r="R258" s="65"/>
      <c r="S258" s="65"/>
      <c r="T258" s="65"/>
      <c r="U258" s="65"/>
      <c r="V258" s="65"/>
      <c r="W258" s="65"/>
      <c r="X258" s="65"/>
      <c r="Y258" s="65"/>
      <c r="Z258" s="65"/>
      <c r="AA258" s="65"/>
      <c r="AB258" s="65"/>
      <c r="AC258" s="65"/>
      <c r="AD258" s="65"/>
      <c r="AE258" s="65"/>
      <c r="AF258" s="65"/>
      <c r="AG258" s="65"/>
      <c r="AH258" s="65"/>
      <c r="AI258" s="65"/>
      <c r="AJ258" s="65"/>
      <c r="AK258" s="65"/>
      <c r="AL258" s="65"/>
      <c r="AM258" s="65"/>
      <c r="AN258" s="65"/>
      <c r="AO258" s="65"/>
      <c r="AP258" s="65"/>
      <c r="AQ258" s="65"/>
      <c r="AR258" s="65"/>
      <c r="AS258" s="65"/>
      <c r="AT258" s="65"/>
      <c r="AU258" s="65"/>
      <c r="AV258" s="65"/>
      <c r="AW258" s="65"/>
      <c r="AX258" s="65"/>
      <c r="AY258" s="65"/>
      <c r="AZ258" s="65"/>
      <c r="BA258" s="65"/>
      <c r="BB258" s="65"/>
      <c r="BC258" s="65"/>
      <c r="BD258" s="65"/>
      <c r="BE258" s="65"/>
      <c r="BF258" s="65"/>
      <c r="BG258" s="65"/>
      <c r="BH258" s="65"/>
      <c r="BI258" s="65"/>
      <c r="BJ258" s="65"/>
      <c r="BK258" s="65"/>
      <c r="BL258" s="65"/>
      <c r="BM258" s="65"/>
      <c r="BN258" s="65"/>
      <c r="BO258" s="65"/>
      <c r="BP258" s="65"/>
      <c r="BQ258" s="65"/>
      <c r="BR258" s="65"/>
      <c r="BS258" s="65"/>
      <c r="BT258" s="65"/>
      <c r="BU258" s="65"/>
      <c r="BV258" s="65"/>
      <c r="BW258" s="65"/>
      <c r="BX258" s="65"/>
      <c r="BY258" s="65"/>
      <c r="BZ258" s="65"/>
      <c r="CA258" s="65"/>
      <c r="CB258" s="65"/>
      <c r="CC258" s="65"/>
      <c r="CD258" s="65"/>
      <c r="CE258" s="65"/>
      <c r="CF258" s="65"/>
      <c r="CG258" s="65"/>
      <c r="CH258" s="65"/>
      <c r="CI258" s="65"/>
      <c r="CJ258" s="65"/>
      <c r="CK258" s="65"/>
      <c r="CL258" s="65"/>
      <c r="CM258" s="65"/>
      <c r="CN258" s="65"/>
      <c r="CO258" s="65"/>
      <c r="CP258" s="65"/>
      <c r="CQ258" s="65"/>
      <c r="CR258" s="65"/>
      <c r="CS258" s="65"/>
      <c r="CT258" s="65"/>
      <c r="CU258" s="65"/>
      <c r="CV258" s="65"/>
      <c r="CW258" s="65"/>
      <c r="CX258" s="65"/>
      <c r="CY258" s="65"/>
      <c r="CZ258" s="65"/>
      <c r="DA258" s="65"/>
      <c r="DB258" s="65"/>
      <c r="DC258" s="65"/>
      <c r="DD258" s="65"/>
      <c r="DE258" s="65"/>
      <c r="DF258" s="65"/>
      <c r="DG258" s="65"/>
      <c r="DH258" s="65"/>
      <c r="DI258" s="65"/>
      <c r="DJ258" s="65"/>
      <c r="DK258" s="65"/>
      <c r="DL258" s="65"/>
      <c r="DM258" s="65"/>
      <c r="DN258" s="65"/>
      <c r="DO258" s="65"/>
      <c r="DP258" s="65"/>
      <c r="DQ258" s="65"/>
      <c r="DR258" s="65"/>
      <c r="DS258" s="65"/>
      <c r="DT258" s="65"/>
      <c r="DU258" s="65"/>
      <c r="DV258" s="65"/>
      <c r="DW258" s="65"/>
      <c r="DX258" s="65"/>
      <c r="DY258" s="65"/>
      <c r="DZ258" s="65"/>
      <c r="EA258" s="65"/>
      <c r="EB258" s="65"/>
      <c r="EC258" s="65"/>
      <c r="ED258" s="65"/>
      <c r="EE258" s="65"/>
      <c r="EF258" s="65"/>
      <c r="EG258" s="65"/>
      <c r="EH258" s="65"/>
      <c r="EI258" s="65"/>
      <c r="EJ258" s="65"/>
      <c r="EK258" s="65"/>
      <c r="EL258" s="65"/>
      <c r="EM258" s="65"/>
      <c r="EN258" s="65"/>
      <c r="EO258" s="65"/>
      <c r="EP258" s="65"/>
      <c r="EQ258" s="65"/>
      <c r="ER258" s="65"/>
      <c r="ES258" s="65"/>
      <c r="ET258" s="65"/>
      <c r="EU258" s="65"/>
      <c r="EV258" s="65"/>
      <c r="EW258" s="65"/>
      <c r="EX258" s="65"/>
      <c r="EY258" s="65"/>
      <c r="EZ258" s="65"/>
      <c r="FA258" s="65"/>
      <c r="FB258" s="65"/>
      <c r="FC258" s="65"/>
      <c r="FD258" s="65"/>
      <c r="FE258" s="65"/>
      <c r="FF258" s="65"/>
      <c r="FG258" s="65"/>
      <c r="FH258" s="65"/>
      <c r="FI258" s="65"/>
      <c r="FJ258" s="65"/>
      <c r="FK258" s="65"/>
      <c r="FL258" s="65"/>
      <c r="FM258" s="65"/>
      <c r="FN258" s="65"/>
      <c r="FO258" s="65"/>
      <c r="FP258" s="65"/>
      <c r="FQ258" s="65"/>
      <c r="FR258" s="65"/>
      <c r="FS258" s="65"/>
      <c r="FT258" s="65"/>
      <c r="FU258" s="65"/>
    </row>
    <row r="259" spans="10:177" s="1" customFormat="1"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65"/>
      <c r="Z259" s="65"/>
      <c r="AA259" s="65"/>
      <c r="AB259" s="65"/>
      <c r="AC259" s="65"/>
      <c r="AD259" s="65"/>
      <c r="AE259" s="65"/>
      <c r="AF259" s="65"/>
      <c r="AG259" s="65"/>
      <c r="AH259" s="65"/>
      <c r="AI259" s="65"/>
      <c r="AJ259" s="65"/>
      <c r="AK259" s="65"/>
      <c r="AL259" s="65"/>
      <c r="AM259" s="65"/>
      <c r="AN259" s="65"/>
      <c r="AO259" s="65"/>
      <c r="AP259" s="65"/>
      <c r="AQ259" s="65"/>
      <c r="AR259" s="65"/>
      <c r="AS259" s="65"/>
      <c r="AT259" s="65"/>
      <c r="AU259" s="65"/>
      <c r="AV259" s="65"/>
      <c r="AW259" s="65"/>
      <c r="AX259" s="65"/>
      <c r="AY259" s="65"/>
      <c r="AZ259" s="65"/>
      <c r="BA259" s="65"/>
      <c r="BB259" s="65"/>
      <c r="BC259" s="65"/>
      <c r="BD259" s="65"/>
      <c r="BE259" s="65"/>
      <c r="BF259" s="65"/>
      <c r="BG259" s="65"/>
      <c r="BH259" s="65"/>
      <c r="BI259" s="65"/>
      <c r="BJ259" s="65"/>
      <c r="BK259" s="65"/>
      <c r="BL259" s="65"/>
      <c r="BM259" s="65"/>
      <c r="BN259" s="65"/>
      <c r="BO259" s="65"/>
      <c r="BP259" s="65"/>
      <c r="BQ259" s="65"/>
      <c r="BR259" s="65"/>
      <c r="BS259" s="65"/>
      <c r="BT259" s="65"/>
      <c r="BU259" s="65"/>
      <c r="BV259" s="65"/>
      <c r="BW259" s="65"/>
      <c r="BX259" s="65"/>
      <c r="BY259" s="65"/>
      <c r="BZ259" s="65"/>
      <c r="CA259" s="65"/>
      <c r="CB259" s="65"/>
      <c r="CC259" s="65"/>
      <c r="CD259" s="65"/>
      <c r="CE259" s="65"/>
      <c r="CF259" s="65"/>
      <c r="CG259" s="65"/>
      <c r="CH259" s="65"/>
      <c r="CI259" s="65"/>
      <c r="CJ259" s="65"/>
      <c r="CK259" s="65"/>
      <c r="CL259" s="65"/>
      <c r="CM259" s="65"/>
      <c r="CN259" s="65"/>
      <c r="CO259" s="65"/>
      <c r="CP259" s="65"/>
      <c r="CQ259" s="65"/>
      <c r="CR259" s="65"/>
      <c r="CS259" s="65"/>
      <c r="CT259" s="65"/>
      <c r="CU259" s="65"/>
      <c r="CV259" s="65"/>
      <c r="CW259" s="65"/>
      <c r="CX259" s="65"/>
      <c r="CY259" s="65"/>
      <c r="CZ259" s="65"/>
      <c r="DA259" s="65"/>
      <c r="DB259" s="65"/>
      <c r="DC259" s="65"/>
      <c r="DD259" s="65"/>
      <c r="DE259" s="65"/>
      <c r="DF259" s="65"/>
      <c r="DG259" s="65"/>
      <c r="DH259" s="65"/>
      <c r="DI259" s="65"/>
      <c r="DJ259" s="65"/>
      <c r="DK259" s="65"/>
      <c r="DL259" s="65"/>
      <c r="DM259" s="65"/>
      <c r="DN259" s="65"/>
      <c r="DO259" s="65"/>
      <c r="DP259" s="65"/>
      <c r="DQ259" s="65"/>
      <c r="DR259" s="65"/>
      <c r="DS259" s="65"/>
      <c r="DT259" s="65"/>
      <c r="DU259" s="65"/>
      <c r="DV259" s="65"/>
      <c r="DW259" s="65"/>
      <c r="DX259" s="65"/>
      <c r="DY259" s="65"/>
      <c r="DZ259" s="65"/>
      <c r="EA259" s="65"/>
      <c r="EB259" s="65"/>
      <c r="EC259" s="65"/>
      <c r="ED259" s="65"/>
      <c r="EE259" s="65"/>
      <c r="EF259" s="65"/>
      <c r="EG259" s="65"/>
      <c r="EH259" s="65"/>
      <c r="EI259" s="65"/>
      <c r="EJ259" s="65"/>
      <c r="EK259" s="65"/>
      <c r="EL259" s="65"/>
      <c r="EM259" s="65"/>
      <c r="EN259" s="65"/>
      <c r="EO259" s="65"/>
      <c r="EP259" s="65"/>
      <c r="EQ259" s="65"/>
      <c r="ER259" s="65"/>
      <c r="ES259" s="65"/>
      <c r="ET259" s="65"/>
      <c r="EU259" s="65"/>
      <c r="EV259" s="65"/>
      <c r="EW259" s="65"/>
      <c r="EX259" s="65"/>
      <c r="EY259" s="65"/>
      <c r="EZ259" s="65"/>
      <c r="FA259" s="65"/>
      <c r="FB259" s="65"/>
      <c r="FC259" s="65"/>
      <c r="FD259" s="65"/>
      <c r="FE259" s="65"/>
      <c r="FF259" s="65"/>
      <c r="FG259" s="65"/>
      <c r="FH259" s="65"/>
      <c r="FI259" s="65"/>
      <c r="FJ259" s="65"/>
      <c r="FK259" s="65"/>
      <c r="FL259" s="65"/>
      <c r="FM259" s="65"/>
      <c r="FN259" s="65"/>
      <c r="FO259" s="65"/>
      <c r="FP259" s="65"/>
      <c r="FQ259" s="65"/>
      <c r="FR259" s="65"/>
      <c r="FS259" s="65"/>
      <c r="FT259" s="65"/>
      <c r="FU259" s="65"/>
    </row>
    <row r="260" spans="10:177" s="1" customFormat="1">
      <c r="J260" s="65"/>
      <c r="K260" s="65"/>
      <c r="L260" s="65"/>
      <c r="M260" s="65"/>
      <c r="N260" s="65"/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65"/>
      <c r="Z260" s="65"/>
      <c r="AA260" s="65"/>
      <c r="AB260" s="65"/>
      <c r="AC260" s="65"/>
      <c r="AD260" s="65"/>
      <c r="AE260" s="65"/>
      <c r="AF260" s="65"/>
      <c r="AG260" s="65"/>
      <c r="AH260" s="65"/>
      <c r="AI260" s="65"/>
      <c r="AJ260" s="65"/>
      <c r="AK260" s="65"/>
      <c r="AL260" s="65"/>
      <c r="AM260" s="65"/>
      <c r="AN260" s="65"/>
      <c r="AO260" s="65"/>
      <c r="AP260" s="65"/>
      <c r="AQ260" s="65"/>
      <c r="AR260" s="65"/>
      <c r="AS260" s="65"/>
      <c r="AT260" s="65"/>
      <c r="AU260" s="65"/>
      <c r="AV260" s="65"/>
      <c r="AW260" s="65"/>
      <c r="AX260" s="65"/>
      <c r="AY260" s="65"/>
      <c r="AZ260" s="65"/>
      <c r="BA260" s="65"/>
      <c r="BB260" s="65"/>
      <c r="BC260" s="65"/>
      <c r="BD260" s="65"/>
      <c r="BE260" s="65"/>
      <c r="BF260" s="65"/>
      <c r="BG260" s="65"/>
      <c r="BH260" s="65"/>
      <c r="BI260" s="65"/>
      <c r="BJ260" s="65"/>
      <c r="BK260" s="65"/>
      <c r="BL260" s="65"/>
      <c r="BM260" s="65"/>
      <c r="BN260" s="65"/>
      <c r="BO260" s="65"/>
      <c r="BP260" s="65"/>
      <c r="BQ260" s="65"/>
      <c r="BR260" s="65"/>
      <c r="BS260" s="65"/>
      <c r="BT260" s="65"/>
      <c r="BU260" s="65"/>
      <c r="BV260" s="65"/>
      <c r="BW260" s="65"/>
      <c r="BX260" s="65"/>
      <c r="BY260" s="65"/>
      <c r="BZ260" s="65"/>
      <c r="CA260" s="65"/>
      <c r="CB260" s="65"/>
      <c r="CC260" s="65"/>
      <c r="CD260" s="65"/>
      <c r="CE260" s="65"/>
      <c r="CF260" s="65"/>
      <c r="CG260" s="65"/>
      <c r="CH260" s="65"/>
      <c r="CI260" s="65"/>
      <c r="CJ260" s="65"/>
      <c r="CK260" s="65"/>
      <c r="CL260" s="65"/>
      <c r="CM260" s="65"/>
      <c r="CN260" s="65"/>
      <c r="CO260" s="65"/>
      <c r="CP260" s="65"/>
      <c r="CQ260" s="65"/>
      <c r="CR260" s="65"/>
      <c r="CS260" s="65"/>
      <c r="CT260" s="65"/>
      <c r="CU260" s="65"/>
      <c r="CV260" s="65"/>
      <c r="CW260" s="65"/>
      <c r="CX260" s="65"/>
      <c r="CY260" s="65"/>
      <c r="CZ260" s="65"/>
      <c r="DA260" s="65"/>
      <c r="DB260" s="65"/>
      <c r="DC260" s="65"/>
      <c r="DD260" s="65"/>
      <c r="DE260" s="65"/>
      <c r="DF260" s="65"/>
      <c r="DG260" s="65"/>
      <c r="DH260" s="65"/>
      <c r="DI260" s="65"/>
      <c r="DJ260" s="65"/>
      <c r="DK260" s="65"/>
      <c r="DL260" s="65"/>
      <c r="DM260" s="65"/>
      <c r="DN260" s="65"/>
      <c r="DO260" s="65"/>
      <c r="DP260" s="65"/>
      <c r="DQ260" s="65"/>
      <c r="DR260" s="65"/>
      <c r="DS260" s="65"/>
      <c r="DT260" s="65"/>
      <c r="DU260" s="65"/>
      <c r="DV260" s="65"/>
      <c r="DW260" s="65"/>
      <c r="DX260" s="65"/>
      <c r="DY260" s="65"/>
      <c r="DZ260" s="65"/>
      <c r="EA260" s="65"/>
      <c r="EB260" s="65"/>
      <c r="EC260" s="65"/>
      <c r="ED260" s="65"/>
      <c r="EE260" s="65"/>
      <c r="EF260" s="65"/>
      <c r="EG260" s="65"/>
      <c r="EH260" s="65"/>
      <c r="EI260" s="65"/>
      <c r="EJ260" s="65"/>
      <c r="EK260" s="65"/>
      <c r="EL260" s="65"/>
      <c r="EM260" s="65"/>
      <c r="EN260" s="65"/>
      <c r="EO260" s="65"/>
      <c r="EP260" s="65"/>
      <c r="EQ260" s="65"/>
      <c r="ER260" s="65"/>
      <c r="ES260" s="65"/>
      <c r="ET260" s="65"/>
      <c r="EU260" s="65"/>
      <c r="EV260" s="65"/>
      <c r="EW260" s="65"/>
      <c r="EX260" s="65"/>
      <c r="EY260" s="65"/>
      <c r="EZ260" s="65"/>
      <c r="FA260" s="65"/>
      <c r="FB260" s="65"/>
      <c r="FC260" s="65"/>
      <c r="FD260" s="65"/>
      <c r="FE260" s="65"/>
      <c r="FF260" s="65"/>
      <c r="FG260" s="65"/>
      <c r="FH260" s="65"/>
      <c r="FI260" s="65"/>
      <c r="FJ260" s="65"/>
      <c r="FK260" s="65"/>
      <c r="FL260" s="65"/>
      <c r="FM260" s="65"/>
      <c r="FN260" s="65"/>
      <c r="FO260" s="65"/>
      <c r="FP260" s="65"/>
      <c r="FQ260" s="65"/>
      <c r="FR260" s="65"/>
      <c r="FS260" s="65"/>
      <c r="FT260" s="65"/>
      <c r="FU260" s="65"/>
    </row>
    <row r="261" spans="10:177" s="1" customFormat="1">
      <c r="J261" s="65"/>
      <c r="K261" s="65"/>
      <c r="L261" s="65"/>
      <c r="M261" s="65"/>
      <c r="N261" s="65"/>
      <c r="O261" s="65"/>
      <c r="P261" s="65"/>
      <c r="Q261" s="65"/>
      <c r="R261" s="65"/>
      <c r="S261" s="65"/>
      <c r="T261" s="65"/>
      <c r="U261" s="65"/>
      <c r="V261" s="65"/>
      <c r="W261" s="65"/>
      <c r="X261" s="65"/>
      <c r="Y261" s="65"/>
      <c r="Z261" s="65"/>
      <c r="AA261" s="65"/>
      <c r="AB261" s="65"/>
      <c r="AC261" s="65"/>
      <c r="AD261" s="65"/>
      <c r="AE261" s="65"/>
      <c r="AF261" s="65"/>
      <c r="AG261" s="65"/>
      <c r="AH261" s="65"/>
      <c r="AI261" s="65"/>
      <c r="AJ261" s="65"/>
      <c r="AK261" s="65"/>
      <c r="AL261" s="65"/>
      <c r="AM261" s="65"/>
      <c r="AN261" s="65"/>
      <c r="AO261" s="65"/>
      <c r="AP261" s="65"/>
      <c r="AQ261" s="65"/>
      <c r="AR261" s="65"/>
      <c r="AS261" s="65"/>
      <c r="AT261" s="65"/>
      <c r="AU261" s="65"/>
      <c r="AV261" s="65"/>
      <c r="AW261" s="65"/>
      <c r="AX261" s="65"/>
      <c r="AY261" s="65"/>
      <c r="AZ261" s="65"/>
      <c r="BA261" s="65"/>
      <c r="BB261" s="65"/>
      <c r="BC261" s="65"/>
      <c r="BD261" s="65"/>
      <c r="BE261" s="65"/>
      <c r="BF261" s="65"/>
      <c r="BG261" s="65"/>
      <c r="BH261" s="65"/>
      <c r="BI261" s="65"/>
      <c r="BJ261" s="65"/>
      <c r="BK261" s="65"/>
      <c r="BL261" s="65"/>
      <c r="BM261" s="65"/>
      <c r="BN261" s="65"/>
      <c r="BO261" s="65"/>
      <c r="BP261" s="65"/>
      <c r="BQ261" s="65"/>
      <c r="BR261" s="65"/>
      <c r="BS261" s="65"/>
      <c r="BT261" s="65"/>
      <c r="BU261" s="65"/>
      <c r="BV261" s="65"/>
      <c r="BW261" s="65"/>
      <c r="BX261" s="65"/>
      <c r="BY261" s="65"/>
      <c r="BZ261" s="65"/>
      <c r="CA261" s="65"/>
      <c r="CB261" s="65"/>
      <c r="CC261" s="65"/>
      <c r="CD261" s="65"/>
      <c r="CE261" s="65"/>
      <c r="CF261" s="65"/>
      <c r="CG261" s="65"/>
      <c r="CH261" s="65"/>
      <c r="CI261" s="65"/>
      <c r="CJ261" s="65"/>
      <c r="CK261" s="65"/>
      <c r="CL261" s="65"/>
      <c r="CM261" s="65"/>
      <c r="CN261" s="65"/>
      <c r="CO261" s="65"/>
      <c r="CP261" s="65"/>
      <c r="CQ261" s="65"/>
      <c r="CR261" s="65"/>
      <c r="CS261" s="65"/>
      <c r="CT261" s="65"/>
      <c r="CU261" s="65"/>
      <c r="CV261" s="65"/>
      <c r="CW261" s="65"/>
      <c r="CX261" s="65"/>
      <c r="CY261" s="65"/>
      <c r="CZ261" s="65"/>
      <c r="DA261" s="65"/>
      <c r="DB261" s="65"/>
      <c r="DC261" s="65"/>
      <c r="DD261" s="65"/>
      <c r="DE261" s="65"/>
      <c r="DF261" s="65"/>
      <c r="DG261" s="65"/>
      <c r="DH261" s="65"/>
      <c r="DI261" s="65"/>
      <c r="DJ261" s="65"/>
      <c r="DK261" s="65"/>
      <c r="DL261" s="65"/>
      <c r="DM261" s="65"/>
      <c r="DN261" s="65"/>
      <c r="DO261" s="65"/>
      <c r="DP261" s="65"/>
      <c r="DQ261" s="65"/>
      <c r="DR261" s="65"/>
      <c r="DS261" s="65"/>
      <c r="DT261" s="65"/>
      <c r="DU261" s="65"/>
      <c r="DV261" s="65"/>
      <c r="DW261" s="65"/>
      <c r="DX261" s="65"/>
      <c r="DY261" s="65"/>
      <c r="DZ261" s="65"/>
      <c r="EA261" s="65"/>
      <c r="EB261" s="65"/>
      <c r="EC261" s="65"/>
      <c r="ED261" s="65"/>
      <c r="EE261" s="65"/>
      <c r="EF261" s="65"/>
      <c r="EG261" s="65"/>
      <c r="EH261" s="65"/>
      <c r="EI261" s="65"/>
      <c r="EJ261" s="65"/>
      <c r="EK261" s="65"/>
      <c r="EL261" s="65"/>
      <c r="EM261" s="65"/>
      <c r="EN261" s="65"/>
      <c r="EO261" s="65"/>
      <c r="EP261" s="65"/>
      <c r="EQ261" s="65"/>
      <c r="ER261" s="65"/>
      <c r="ES261" s="65"/>
      <c r="ET261" s="65"/>
      <c r="EU261" s="65"/>
      <c r="EV261" s="65"/>
      <c r="EW261" s="65"/>
      <c r="EX261" s="65"/>
      <c r="EY261" s="65"/>
      <c r="EZ261" s="65"/>
      <c r="FA261" s="65"/>
      <c r="FB261" s="65"/>
      <c r="FC261" s="65"/>
      <c r="FD261" s="65"/>
      <c r="FE261" s="65"/>
      <c r="FF261" s="65"/>
      <c r="FG261" s="65"/>
      <c r="FH261" s="65"/>
      <c r="FI261" s="65"/>
      <c r="FJ261" s="65"/>
      <c r="FK261" s="65"/>
      <c r="FL261" s="65"/>
      <c r="FM261" s="65"/>
      <c r="FN261" s="65"/>
      <c r="FO261" s="65"/>
      <c r="FP261" s="65"/>
      <c r="FQ261" s="65"/>
      <c r="FR261" s="65"/>
      <c r="FS261" s="65"/>
      <c r="FT261" s="65"/>
      <c r="FU261" s="65"/>
    </row>
    <row r="262" spans="10:177" s="1" customFormat="1">
      <c r="J262" s="65"/>
      <c r="K262" s="65"/>
      <c r="L262" s="65"/>
      <c r="M262" s="65"/>
      <c r="N262" s="65"/>
      <c r="O262" s="65"/>
      <c r="P262" s="65"/>
      <c r="Q262" s="65"/>
      <c r="R262" s="65"/>
      <c r="S262" s="65"/>
      <c r="T262" s="65"/>
      <c r="U262" s="65"/>
      <c r="V262" s="65"/>
      <c r="W262" s="65"/>
      <c r="X262" s="65"/>
      <c r="Y262" s="65"/>
      <c r="Z262" s="65"/>
      <c r="AA262" s="65"/>
      <c r="AB262" s="65"/>
      <c r="AC262" s="65"/>
      <c r="AD262" s="65"/>
      <c r="AE262" s="65"/>
      <c r="AF262" s="65"/>
      <c r="AG262" s="65"/>
      <c r="AH262" s="65"/>
      <c r="AI262" s="65"/>
      <c r="AJ262" s="65"/>
      <c r="AK262" s="65"/>
      <c r="AL262" s="65"/>
      <c r="AM262" s="65"/>
      <c r="AN262" s="65"/>
      <c r="AO262" s="65"/>
      <c r="AP262" s="65"/>
      <c r="AQ262" s="65"/>
      <c r="AR262" s="65"/>
      <c r="AS262" s="65"/>
      <c r="AT262" s="65"/>
      <c r="AU262" s="65"/>
      <c r="AV262" s="65"/>
      <c r="AW262" s="65"/>
      <c r="AX262" s="65"/>
      <c r="AY262" s="65"/>
      <c r="AZ262" s="65"/>
      <c r="BA262" s="65"/>
      <c r="BB262" s="65"/>
      <c r="BC262" s="65"/>
      <c r="BD262" s="65"/>
      <c r="BE262" s="65"/>
      <c r="BF262" s="65"/>
      <c r="BG262" s="65"/>
      <c r="BH262" s="65"/>
      <c r="BI262" s="65"/>
      <c r="BJ262" s="65"/>
      <c r="BK262" s="65"/>
      <c r="BL262" s="65"/>
      <c r="BM262" s="65"/>
      <c r="BN262" s="65"/>
      <c r="BO262" s="65"/>
      <c r="BP262" s="65"/>
      <c r="BQ262" s="65"/>
      <c r="BR262" s="65"/>
      <c r="BS262" s="65"/>
      <c r="BT262" s="65"/>
      <c r="BU262" s="65"/>
      <c r="BV262" s="65"/>
      <c r="BW262" s="65"/>
      <c r="BX262" s="65"/>
      <c r="BY262" s="65"/>
      <c r="BZ262" s="65"/>
      <c r="CA262" s="65"/>
      <c r="CB262" s="65"/>
      <c r="CC262" s="65"/>
      <c r="CD262" s="65"/>
      <c r="CE262" s="65"/>
      <c r="CF262" s="65"/>
      <c r="CG262" s="65"/>
      <c r="CH262" s="65"/>
      <c r="CI262" s="65"/>
      <c r="CJ262" s="65"/>
      <c r="CK262" s="65"/>
      <c r="CL262" s="65"/>
      <c r="CM262" s="65"/>
      <c r="CN262" s="65"/>
      <c r="CO262" s="65"/>
      <c r="CP262" s="65"/>
      <c r="CQ262" s="65"/>
      <c r="CR262" s="65"/>
      <c r="CS262" s="65"/>
      <c r="CT262" s="65"/>
      <c r="CU262" s="65"/>
      <c r="CV262" s="65"/>
      <c r="CW262" s="65"/>
      <c r="CX262" s="65"/>
      <c r="CY262" s="65"/>
      <c r="CZ262" s="65"/>
      <c r="DA262" s="65"/>
      <c r="DB262" s="65"/>
      <c r="DC262" s="65"/>
      <c r="DD262" s="65"/>
      <c r="DE262" s="65"/>
      <c r="DF262" s="65"/>
      <c r="DG262" s="65"/>
      <c r="DH262" s="65"/>
      <c r="DI262" s="65"/>
      <c r="DJ262" s="65"/>
      <c r="DK262" s="65"/>
      <c r="DL262" s="65"/>
      <c r="DM262" s="65"/>
      <c r="DN262" s="65"/>
      <c r="DO262" s="65"/>
      <c r="DP262" s="65"/>
      <c r="DQ262" s="65"/>
      <c r="DR262" s="65"/>
      <c r="DS262" s="65"/>
      <c r="DT262" s="65"/>
      <c r="DU262" s="65"/>
      <c r="DV262" s="65"/>
      <c r="DW262" s="65"/>
      <c r="DX262" s="65"/>
      <c r="DY262" s="65"/>
      <c r="DZ262" s="65"/>
      <c r="EA262" s="65"/>
      <c r="EB262" s="65"/>
      <c r="EC262" s="65"/>
      <c r="ED262" s="65"/>
      <c r="EE262" s="65"/>
      <c r="EF262" s="65"/>
      <c r="EG262" s="65"/>
      <c r="EH262" s="65"/>
      <c r="EI262" s="65"/>
      <c r="EJ262" s="65"/>
      <c r="EK262" s="65"/>
      <c r="EL262" s="65"/>
      <c r="EM262" s="65"/>
      <c r="EN262" s="65"/>
      <c r="EO262" s="65"/>
      <c r="EP262" s="65"/>
      <c r="EQ262" s="65"/>
      <c r="ER262" s="65"/>
      <c r="ES262" s="65"/>
      <c r="ET262" s="65"/>
      <c r="EU262" s="65"/>
      <c r="EV262" s="65"/>
      <c r="EW262" s="65"/>
      <c r="EX262" s="65"/>
      <c r="EY262" s="65"/>
      <c r="EZ262" s="65"/>
      <c r="FA262" s="65"/>
      <c r="FB262" s="65"/>
      <c r="FC262" s="65"/>
      <c r="FD262" s="65"/>
      <c r="FE262" s="65"/>
      <c r="FF262" s="65"/>
      <c r="FG262" s="65"/>
      <c r="FH262" s="65"/>
      <c r="FI262" s="65"/>
      <c r="FJ262" s="65"/>
      <c r="FK262" s="65"/>
      <c r="FL262" s="65"/>
      <c r="FM262" s="65"/>
      <c r="FN262" s="65"/>
      <c r="FO262" s="65"/>
      <c r="FP262" s="65"/>
      <c r="FQ262" s="65"/>
      <c r="FR262" s="65"/>
      <c r="FS262" s="65"/>
      <c r="FT262" s="65"/>
      <c r="FU262" s="65"/>
    </row>
    <row r="263" spans="10:177" s="1" customFormat="1">
      <c r="J263" s="65"/>
      <c r="K263" s="65"/>
      <c r="L263" s="65"/>
      <c r="M263" s="65"/>
      <c r="N263" s="65"/>
      <c r="O263" s="65"/>
      <c r="P263" s="65"/>
      <c r="Q263" s="65"/>
      <c r="R263" s="65"/>
      <c r="S263" s="65"/>
      <c r="T263" s="65"/>
      <c r="U263" s="65"/>
      <c r="V263" s="65"/>
      <c r="W263" s="65"/>
      <c r="X263" s="65"/>
      <c r="Y263" s="65"/>
      <c r="Z263" s="65"/>
      <c r="AA263" s="65"/>
      <c r="AB263" s="65"/>
      <c r="AC263" s="65"/>
      <c r="AD263" s="65"/>
      <c r="AE263" s="65"/>
      <c r="AF263" s="65"/>
      <c r="AG263" s="65"/>
      <c r="AH263" s="65"/>
      <c r="AI263" s="65"/>
      <c r="AJ263" s="65"/>
      <c r="AK263" s="65"/>
      <c r="AL263" s="65"/>
      <c r="AM263" s="65"/>
      <c r="AN263" s="65"/>
      <c r="AO263" s="65"/>
      <c r="AP263" s="65"/>
      <c r="AQ263" s="65"/>
      <c r="AR263" s="65"/>
      <c r="AS263" s="65"/>
      <c r="AT263" s="65"/>
      <c r="AU263" s="65"/>
      <c r="AV263" s="65"/>
      <c r="AW263" s="65"/>
      <c r="AX263" s="65"/>
      <c r="AY263" s="65"/>
      <c r="AZ263" s="65"/>
      <c r="BA263" s="65"/>
      <c r="BB263" s="65"/>
      <c r="BC263" s="65"/>
      <c r="BD263" s="65"/>
      <c r="BE263" s="65"/>
      <c r="BF263" s="65"/>
      <c r="BG263" s="65"/>
      <c r="BH263" s="65"/>
      <c r="BI263" s="65"/>
      <c r="BJ263" s="65"/>
      <c r="BK263" s="65"/>
      <c r="BL263" s="65"/>
      <c r="BM263" s="65"/>
      <c r="BN263" s="65"/>
      <c r="BO263" s="65"/>
      <c r="BP263" s="65"/>
      <c r="BQ263" s="65"/>
      <c r="BR263" s="65"/>
      <c r="BS263" s="65"/>
      <c r="BT263" s="65"/>
      <c r="BU263" s="65"/>
      <c r="BV263" s="65"/>
      <c r="BW263" s="65"/>
      <c r="BX263" s="65"/>
      <c r="BY263" s="65"/>
      <c r="BZ263" s="65"/>
      <c r="CA263" s="65"/>
      <c r="CB263" s="65"/>
      <c r="CC263" s="65"/>
      <c r="CD263" s="65"/>
      <c r="CE263" s="65"/>
      <c r="CF263" s="65"/>
      <c r="CG263" s="65"/>
      <c r="CH263" s="65"/>
      <c r="CI263" s="65"/>
      <c r="CJ263" s="65"/>
      <c r="CK263" s="65"/>
      <c r="CL263" s="65"/>
      <c r="CM263" s="65"/>
      <c r="CN263" s="65"/>
      <c r="CO263" s="65"/>
      <c r="CP263" s="65"/>
      <c r="CQ263" s="65"/>
      <c r="CR263" s="65"/>
      <c r="CS263" s="65"/>
      <c r="CT263" s="65"/>
      <c r="CU263" s="65"/>
      <c r="CV263" s="65"/>
      <c r="CW263" s="65"/>
      <c r="CX263" s="65"/>
      <c r="CY263" s="65"/>
      <c r="CZ263" s="65"/>
      <c r="DA263" s="65"/>
      <c r="DB263" s="65"/>
      <c r="DC263" s="65"/>
      <c r="DD263" s="65"/>
      <c r="DE263" s="65"/>
      <c r="DF263" s="65"/>
      <c r="DG263" s="65"/>
      <c r="DH263" s="65"/>
      <c r="DI263" s="65"/>
      <c r="DJ263" s="65"/>
      <c r="DK263" s="65"/>
      <c r="DL263" s="65"/>
      <c r="DM263" s="65"/>
      <c r="DN263" s="65"/>
      <c r="DO263" s="65"/>
      <c r="DP263" s="65"/>
      <c r="DQ263" s="65"/>
      <c r="DR263" s="65"/>
      <c r="DS263" s="65"/>
      <c r="DT263" s="65"/>
      <c r="DU263" s="65"/>
      <c r="DV263" s="65"/>
      <c r="DW263" s="65"/>
      <c r="DX263" s="65"/>
      <c r="DY263" s="65"/>
      <c r="DZ263" s="65"/>
      <c r="EA263" s="65"/>
      <c r="EB263" s="65"/>
      <c r="EC263" s="65"/>
      <c r="ED263" s="65"/>
      <c r="EE263" s="65"/>
      <c r="EF263" s="65"/>
      <c r="EG263" s="65"/>
      <c r="EH263" s="65"/>
      <c r="EI263" s="65"/>
      <c r="EJ263" s="65"/>
      <c r="EK263" s="65"/>
      <c r="EL263" s="65"/>
      <c r="EM263" s="65"/>
      <c r="EN263" s="65"/>
      <c r="EO263" s="65"/>
      <c r="EP263" s="65"/>
      <c r="EQ263" s="65"/>
      <c r="ER263" s="65"/>
      <c r="ES263" s="65"/>
      <c r="ET263" s="65"/>
      <c r="EU263" s="65"/>
      <c r="EV263" s="65"/>
      <c r="EW263" s="65"/>
      <c r="EX263" s="65"/>
      <c r="EY263" s="65"/>
      <c r="EZ263" s="65"/>
      <c r="FA263" s="65"/>
      <c r="FB263" s="65"/>
      <c r="FC263" s="65"/>
      <c r="FD263" s="65"/>
      <c r="FE263" s="65"/>
      <c r="FF263" s="65"/>
      <c r="FG263" s="65"/>
      <c r="FH263" s="65"/>
      <c r="FI263" s="65"/>
      <c r="FJ263" s="65"/>
      <c r="FK263" s="65"/>
      <c r="FL263" s="65"/>
      <c r="FM263" s="65"/>
      <c r="FN263" s="65"/>
      <c r="FO263" s="65"/>
      <c r="FP263" s="65"/>
      <c r="FQ263" s="65"/>
      <c r="FR263" s="65"/>
      <c r="FS263" s="65"/>
      <c r="FT263" s="65"/>
      <c r="FU263" s="65"/>
    </row>
    <row r="264" spans="10:177" s="1" customFormat="1"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65"/>
      <c r="Z264" s="65"/>
      <c r="AA264" s="65"/>
      <c r="AB264" s="65"/>
      <c r="AC264" s="65"/>
      <c r="AD264" s="65"/>
      <c r="AE264" s="65"/>
      <c r="AF264" s="65"/>
      <c r="AG264" s="65"/>
      <c r="AH264" s="65"/>
      <c r="AI264" s="65"/>
      <c r="AJ264" s="65"/>
      <c r="AK264" s="65"/>
      <c r="AL264" s="65"/>
      <c r="AM264" s="65"/>
      <c r="AN264" s="65"/>
      <c r="AO264" s="65"/>
      <c r="AP264" s="65"/>
      <c r="AQ264" s="65"/>
      <c r="AR264" s="65"/>
      <c r="AS264" s="65"/>
      <c r="AT264" s="65"/>
      <c r="AU264" s="65"/>
      <c r="AV264" s="65"/>
      <c r="AW264" s="65"/>
      <c r="AX264" s="65"/>
      <c r="AY264" s="65"/>
      <c r="AZ264" s="65"/>
      <c r="BA264" s="65"/>
      <c r="BB264" s="65"/>
      <c r="BC264" s="65"/>
      <c r="BD264" s="65"/>
      <c r="BE264" s="65"/>
      <c r="BF264" s="65"/>
      <c r="BG264" s="65"/>
      <c r="BH264" s="65"/>
      <c r="BI264" s="65"/>
      <c r="BJ264" s="65"/>
      <c r="BK264" s="65"/>
      <c r="BL264" s="65"/>
      <c r="BM264" s="65"/>
      <c r="BN264" s="65"/>
      <c r="BO264" s="65"/>
      <c r="BP264" s="65"/>
      <c r="BQ264" s="65"/>
      <c r="BR264" s="65"/>
      <c r="BS264" s="65"/>
      <c r="BT264" s="65"/>
      <c r="BU264" s="65"/>
      <c r="BV264" s="65"/>
      <c r="BW264" s="65"/>
      <c r="BX264" s="65"/>
      <c r="BY264" s="65"/>
      <c r="BZ264" s="65"/>
      <c r="CA264" s="65"/>
      <c r="CB264" s="65"/>
      <c r="CC264" s="65"/>
      <c r="CD264" s="65"/>
      <c r="CE264" s="65"/>
      <c r="CF264" s="65"/>
      <c r="CG264" s="65"/>
      <c r="CH264" s="65"/>
      <c r="CI264" s="65"/>
      <c r="CJ264" s="65"/>
      <c r="CK264" s="65"/>
      <c r="CL264" s="65"/>
      <c r="CM264" s="65"/>
      <c r="CN264" s="65"/>
      <c r="CO264" s="65"/>
      <c r="CP264" s="65"/>
      <c r="CQ264" s="65"/>
      <c r="CR264" s="65"/>
      <c r="CS264" s="65"/>
      <c r="CT264" s="65"/>
      <c r="CU264" s="65"/>
      <c r="CV264" s="65"/>
      <c r="CW264" s="65"/>
      <c r="CX264" s="65"/>
      <c r="CY264" s="65"/>
      <c r="CZ264" s="65"/>
      <c r="DA264" s="65"/>
      <c r="DB264" s="65"/>
      <c r="DC264" s="65"/>
      <c r="DD264" s="65"/>
      <c r="DE264" s="65"/>
      <c r="DF264" s="65"/>
      <c r="DG264" s="65"/>
      <c r="DH264" s="65"/>
      <c r="DI264" s="65"/>
      <c r="DJ264" s="65"/>
      <c r="DK264" s="65"/>
      <c r="DL264" s="65"/>
      <c r="DM264" s="65"/>
      <c r="DN264" s="65"/>
      <c r="DO264" s="65"/>
      <c r="DP264" s="65"/>
      <c r="DQ264" s="65"/>
      <c r="DR264" s="65"/>
      <c r="DS264" s="65"/>
      <c r="DT264" s="65"/>
      <c r="DU264" s="65"/>
      <c r="DV264" s="65"/>
      <c r="DW264" s="65"/>
      <c r="DX264" s="65"/>
      <c r="DY264" s="65"/>
      <c r="DZ264" s="65"/>
      <c r="EA264" s="65"/>
      <c r="EB264" s="65"/>
      <c r="EC264" s="65"/>
      <c r="ED264" s="65"/>
      <c r="EE264" s="65"/>
      <c r="EF264" s="65"/>
      <c r="EG264" s="65"/>
      <c r="EH264" s="65"/>
      <c r="EI264" s="65"/>
      <c r="EJ264" s="65"/>
      <c r="EK264" s="65"/>
      <c r="EL264" s="65"/>
      <c r="EM264" s="65"/>
      <c r="EN264" s="65"/>
      <c r="EO264" s="65"/>
      <c r="EP264" s="65"/>
      <c r="EQ264" s="65"/>
      <c r="ER264" s="65"/>
      <c r="ES264" s="65"/>
      <c r="ET264" s="65"/>
      <c r="EU264" s="65"/>
      <c r="EV264" s="65"/>
      <c r="EW264" s="65"/>
      <c r="EX264" s="65"/>
      <c r="EY264" s="65"/>
      <c r="EZ264" s="65"/>
      <c r="FA264" s="65"/>
      <c r="FB264" s="65"/>
      <c r="FC264" s="65"/>
      <c r="FD264" s="65"/>
      <c r="FE264" s="65"/>
      <c r="FF264" s="65"/>
      <c r="FG264" s="65"/>
      <c r="FH264" s="65"/>
      <c r="FI264" s="65"/>
      <c r="FJ264" s="65"/>
      <c r="FK264" s="65"/>
      <c r="FL264" s="65"/>
      <c r="FM264" s="65"/>
      <c r="FN264" s="65"/>
      <c r="FO264" s="65"/>
      <c r="FP264" s="65"/>
      <c r="FQ264" s="65"/>
      <c r="FR264" s="65"/>
      <c r="FS264" s="65"/>
      <c r="FT264" s="65"/>
      <c r="FU264" s="65"/>
    </row>
    <row r="265" spans="10:177" s="1" customFormat="1"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5"/>
      <c r="Z265" s="65"/>
      <c r="AA265" s="65"/>
      <c r="AB265" s="65"/>
      <c r="AC265" s="65"/>
      <c r="AD265" s="65"/>
      <c r="AE265" s="65"/>
      <c r="AF265" s="65"/>
      <c r="AG265" s="65"/>
      <c r="AH265" s="65"/>
      <c r="AI265" s="65"/>
      <c r="AJ265" s="65"/>
      <c r="AK265" s="65"/>
      <c r="AL265" s="65"/>
      <c r="AM265" s="65"/>
      <c r="AN265" s="65"/>
      <c r="AO265" s="65"/>
      <c r="AP265" s="65"/>
      <c r="AQ265" s="65"/>
      <c r="AR265" s="65"/>
      <c r="AS265" s="65"/>
      <c r="AT265" s="65"/>
      <c r="AU265" s="65"/>
      <c r="AV265" s="65"/>
      <c r="AW265" s="65"/>
      <c r="AX265" s="65"/>
      <c r="AY265" s="65"/>
      <c r="AZ265" s="65"/>
      <c r="BA265" s="65"/>
      <c r="BB265" s="65"/>
      <c r="BC265" s="65"/>
      <c r="BD265" s="65"/>
      <c r="BE265" s="65"/>
      <c r="BF265" s="65"/>
      <c r="BG265" s="65"/>
      <c r="BH265" s="65"/>
      <c r="BI265" s="65"/>
      <c r="BJ265" s="65"/>
      <c r="BK265" s="65"/>
      <c r="BL265" s="65"/>
      <c r="BM265" s="65"/>
      <c r="BN265" s="65"/>
      <c r="BO265" s="65"/>
      <c r="BP265" s="65"/>
      <c r="BQ265" s="65"/>
      <c r="BR265" s="65"/>
      <c r="BS265" s="65"/>
      <c r="BT265" s="65"/>
      <c r="BU265" s="65"/>
      <c r="BV265" s="65"/>
      <c r="BW265" s="65"/>
      <c r="BX265" s="65"/>
      <c r="BY265" s="65"/>
      <c r="BZ265" s="65"/>
      <c r="CA265" s="65"/>
      <c r="CB265" s="65"/>
      <c r="CC265" s="65"/>
      <c r="CD265" s="65"/>
      <c r="CE265" s="65"/>
      <c r="CF265" s="65"/>
      <c r="CG265" s="65"/>
      <c r="CH265" s="65"/>
      <c r="CI265" s="65"/>
      <c r="CJ265" s="65"/>
      <c r="CK265" s="65"/>
      <c r="CL265" s="65"/>
      <c r="CM265" s="65"/>
      <c r="CN265" s="65"/>
      <c r="CO265" s="65"/>
      <c r="CP265" s="65"/>
      <c r="CQ265" s="65"/>
      <c r="CR265" s="65"/>
      <c r="CS265" s="65"/>
      <c r="CT265" s="65"/>
      <c r="CU265" s="65"/>
      <c r="CV265" s="65"/>
      <c r="CW265" s="65"/>
      <c r="CX265" s="65"/>
      <c r="CY265" s="65"/>
      <c r="CZ265" s="65"/>
      <c r="DA265" s="65"/>
      <c r="DB265" s="65"/>
      <c r="DC265" s="65"/>
      <c r="DD265" s="65"/>
      <c r="DE265" s="65"/>
      <c r="DF265" s="65"/>
      <c r="DG265" s="65"/>
      <c r="DH265" s="65"/>
      <c r="DI265" s="65"/>
      <c r="DJ265" s="65"/>
      <c r="DK265" s="65"/>
      <c r="DL265" s="65"/>
      <c r="DM265" s="65"/>
      <c r="DN265" s="65"/>
      <c r="DO265" s="65"/>
      <c r="DP265" s="65"/>
      <c r="DQ265" s="65"/>
      <c r="DR265" s="65"/>
      <c r="DS265" s="65"/>
      <c r="DT265" s="65"/>
      <c r="DU265" s="65"/>
      <c r="DV265" s="65"/>
      <c r="DW265" s="65"/>
      <c r="DX265" s="65"/>
      <c r="DY265" s="65"/>
      <c r="DZ265" s="65"/>
      <c r="EA265" s="65"/>
      <c r="EB265" s="65"/>
      <c r="EC265" s="65"/>
      <c r="ED265" s="65"/>
      <c r="EE265" s="65"/>
      <c r="EF265" s="65"/>
      <c r="EG265" s="65"/>
      <c r="EH265" s="65"/>
      <c r="EI265" s="65"/>
      <c r="EJ265" s="65"/>
      <c r="EK265" s="65"/>
      <c r="EL265" s="65"/>
      <c r="EM265" s="65"/>
      <c r="EN265" s="65"/>
      <c r="EO265" s="65"/>
      <c r="EP265" s="65"/>
      <c r="EQ265" s="65"/>
      <c r="ER265" s="65"/>
      <c r="ES265" s="65"/>
      <c r="ET265" s="65"/>
      <c r="EU265" s="65"/>
      <c r="EV265" s="65"/>
      <c r="EW265" s="65"/>
      <c r="EX265" s="65"/>
      <c r="EY265" s="65"/>
      <c r="EZ265" s="65"/>
      <c r="FA265" s="65"/>
      <c r="FB265" s="65"/>
      <c r="FC265" s="65"/>
      <c r="FD265" s="65"/>
      <c r="FE265" s="65"/>
      <c r="FF265" s="65"/>
      <c r="FG265" s="65"/>
      <c r="FH265" s="65"/>
      <c r="FI265" s="65"/>
      <c r="FJ265" s="65"/>
      <c r="FK265" s="65"/>
      <c r="FL265" s="65"/>
      <c r="FM265" s="65"/>
      <c r="FN265" s="65"/>
      <c r="FO265" s="65"/>
      <c r="FP265" s="65"/>
      <c r="FQ265" s="65"/>
      <c r="FR265" s="65"/>
      <c r="FS265" s="65"/>
      <c r="FT265" s="65"/>
      <c r="FU265" s="65"/>
    </row>
    <row r="266" spans="10:177" s="1" customFormat="1"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65"/>
      <c r="Z266" s="65"/>
      <c r="AA266" s="65"/>
      <c r="AB266" s="65"/>
      <c r="AC266" s="65"/>
      <c r="AD266" s="65"/>
      <c r="AE266" s="65"/>
      <c r="AF266" s="65"/>
      <c r="AG266" s="65"/>
      <c r="AH266" s="65"/>
      <c r="AI266" s="65"/>
      <c r="AJ266" s="65"/>
      <c r="AK266" s="65"/>
      <c r="AL266" s="65"/>
      <c r="AM266" s="65"/>
      <c r="AN266" s="65"/>
      <c r="AO266" s="65"/>
      <c r="AP266" s="65"/>
      <c r="AQ266" s="65"/>
      <c r="AR266" s="65"/>
      <c r="AS266" s="65"/>
      <c r="AT266" s="65"/>
      <c r="AU266" s="65"/>
      <c r="AV266" s="65"/>
      <c r="AW266" s="65"/>
      <c r="AX266" s="65"/>
      <c r="AY266" s="65"/>
      <c r="AZ266" s="65"/>
      <c r="BA266" s="65"/>
      <c r="BB266" s="65"/>
      <c r="BC266" s="65"/>
      <c r="BD266" s="65"/>
      <c r="BE266" s="65"/>
      <c r="BF266" s="65"/>
      <c r="BG266" s="65"/>
      <c r="BH266" s="65"/>
      <c r="BI266" s="65"/>
      <c r="BJ266" s="65"/>
      <c r="BK266" s="65"/>
      <c r="BL266" s="65"/>
      <c r="BM266" s="65"/>
      <c r="BN266" s="65"/>
      <c r="BO266" s="65"/>
      <c r="BP266" s="65"/>
      <c r="BQ266" s="65"/>
      <c r="BR266" s="65"/>
      <c r="BS266" s="65"/>
      <c r="BT266" s="65"/>
      <c r="BU266" s="65"/>
      <c r="BV266" s="65"/>
      <c r="BW266" s="65"/>
      <c r="BX266" s="65"/>
      <c r="BY266" s="65"/>
      <c r="BZ266" s="65"/>
      <c r="CA266" s="65"/>
      <c r="CB266" s="65"/>
      <c r="CC266" s="65"/>
      <c r="CD266" s="65"/>
      <c r="CE266" s="65"/>
      <c r="CF266" s="65"/>
      <c r="CG266" s="65"/>
      <c r="CH266" s="65"/>
      <c r="CI266" s="65"/>
      <c r="CJ266" s="65"/>
      <c r="CK266" s="65"/>
      <c r="CL266" s="65"/>
      <c r="CM266" s="65"/>
      <c r="CN266" s="65"/>
      <c r="CO266" s="65"/>
      <c r="CP266" s="65"/>
      <c r="CQ266" s="65"/>
      <c r="CR266" s="65"/>
      <c r="CS266" s="65"/>
      <c r="CT266" s="65"/>
      <c r="CU266" s="65"/>
      <c r="CV266" s="65"/>
      <c r="CW266" s="65"/>
      <c r="CX266" s="65"/>
      <c r="CY266" s="65"/>
      <c r="CZ266" s="65"/>
      <c r="DA266" s="65"/>
      <c r="DB266" s="65"/>
      <c r="DC266" s="65"/>
      <c r="DD266" s="65"/>
      <c r="DE266" s="65"/>
      <c r="DF266" s="65"/>
      <c r="DG266" s="65"/>
      <c r="DH266" s="65"/>
      <c r="DI266" s="65"/>
      <c r="DJ266" s="65"/>
      <c r="DK266" s="65"/>
      <c r="DL266" s="65"/>
      <c r="DM266" s="65"/>
      <c r="DN266" s="65"/>
      <c r="DO266" s="65"/>
      <c r="DP266" s="65"/>
      <c r="DQ266" s="65"/>
      <c r="DR266" s="65"/>
      <c r="DS266" s="65"/>
      <c r="DT266" s="65"/>
      <c r="DU266" s="65"/>
      <c r="DV266" s="65"/>
      <c r="DW266" s="65"/>
      <c r="DX266" s="65"/>
      <c r="DY266" s="65"/>
      <c r="DZ266" s="65"/>
      <c r="EA266" s="65"/>
      <c r="EB266" s="65"/>
      <c r="EC266" s="65"/>
      <c r="ED266" s="65"/>
      <c r="EE266" s="65"/>
      <c r="EF266" s="65"/>
      <c r="EG266" s="65"/>
      <c r="EH266" s="65"/>
      <c r="EI266" s="65"/>
      <c r="EJ266" s="65"/>
      <c r="EK266" s="65"/>
      <c r="EL266" s="65"/>
      <c r="EM266" s="65"/>
      <c r="EN266" s="65"/>
      <c r="EO266" s="65"/>
      <c r="EP266" s="65"/>
      <c r="EQ266" s="65"/>
      <c r="ER266" s="65"/>
      <c r="ES266" s="65"/>
      <c r="ET266" s="65"/>
      <c r="EU266" s="65"/>
      <c r="EV266" s="65"/>
      <c r="EW266" s="65"/>
      <c r="EX266" s="65"/>
      <c r="EY266" s="65"/>
      <c r="EZ266" s="65"/>
      <c r="FA266" s="65"/>
      <c r="FB266" s="65"/>
      <c r="FC266" s="65"/>
      <c r="FD266" s="65"/>
      <c r="FE266" s="65"/>
      <c r="FF266" s="65"/>
      <c r="FG266" s="65"/>
      <c r="FH266" s="65"/>
      <c r="FI266" s="65"/>
      <c r="FJ266" s="65"/>
      <c r="FK266" s="65"/>
      <c r="FL266" s="65"/>
      <c r="FM266" s="65"/>
      <c r="FN266" s="65"/>
      <c r="FO266" s="65"/>
      <c r="FP266" s="65"/>
      <c r="FQ266" s="65"/>
      <c r="FR266" s="65"/>
      <c r="FS266" s="65"/>
      <c r="FT266" s="65"/>
      <c r="FU266" s="65"/>
    </row>
    <row r="267" spans="10:177" s="1" customFormat="1">
      <c r="J267" s="65"/>
      <c r="K267" s="65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  <c r="Y267" s="65"/>
      <c r="Z267" s="65"/>
      <c r="AA267" s="65"/>
      <c r="AB267" s="65"/>
      <c r="AC267" s="65"/>
      <c r="AD267" s="65"/>
      <c r="AE267" s="65"/>
      <c r="AF267" s="65"/>
      <c r="AG267" s="65"/>
      <c r="AH267" s="65"/>
      <c r="AI267" s="65"/>
      <c r="AJ267" s="65"/>
      <c r="AK267" s="65"/>
      <c r="AL267" s="65"/>
      <c r="AM267" s="65"/>
      <c r="AN267" s="65"/>
      <c r="AO267" s="65"/>
      <c r="AP267" s="65"/>
      <c r="AQ267" s="65"/>
      <c r="AR267" s="65"/>
      <c r="AS267" s="65"/>
      <c r="AT267" s="65"/>
      <c r="AU267" s="65"/>
      <c r="AV267" s="65"/>
      <c r="AW267" s="65"/>
      <c r="AX267" s="65"/>
      <c r="AY267" s="65"/>
      <c r="AZ267" s="65"/>
      <c r="BA267" s="65"/>
      <c r="BB267" s="65"/>
      <c r="BC267" s="65"/>
      <c r="BD267" s="65"/>
      <c r="BE267" s="65"/>
      <c r="BF267" s="65"/>
      <c r="BG267" s="65"/>
      <c r="BH267" s="65"/>
      <c r="BI267" s="65"/>
      <c r="BJ267" s="65"/>
      <c r="BK267" s="65"/>
      <c r="BL267" s="65"/>
      <c r="BM267" s="65"/>
      <c r="BN267" s="65"/>
      <c r="BO267" s="65"/>
      <c r="BP267" s="65"/>
      <c r="BQ267" s="65"/>
      <c r="BR267" s="65"/>
      <c r="BS267" s="65"/>
      <c r="BT267" s="65"/>
      <c r="BU267" s="65"/>
      <c r="BV267" s="65"/>
      <c r="BW267" s="65"/>
      <c r="BX267" s="65"/>
      <c r="BY267" s="65"/>
      <c r="BZ267" s="65"/>
      <c r="CA267" s="65"/>
      <c r="CB267" s="65"/>
      <c r="CC267" s="65"/>
      <c r="CD267" s="65"/>
      <c r="CE267" s="65"/>
      <c r="CF267" s="65"/>
      <c r="CG267" s="65"/>
      <c r="CH267" s="65"/>
      <c r="CI267" s="65"/>
      <c r="CJ267" s="65"/>
      <c r="CK267" s="65"/>
      <c r="CL267" s="65"/>
      <c r="CM267" s="65"/>
      <c r="CN267" s="65"/>
      <c r="CO267" s="65"/>
      <c r="CP267" s="65"/>
      <c r="CQ267" s="65"/>
      <c r="CR267" s="65"/>
      <c r="CS267" s="65"/>
      <c r="CT267" s="65"/>
      <c r="CU267" s="65"/>
      <c r="CV267" s="65"/>
      <c r="CW267" s="65"/>
      <c r="CX267" s="65"/>
      <c r="CY267" s="65"/>
      <c r="CZ267" s="65"/>
      <c r="DA267" s="65"/>
      <c r="DB267" s="65"/>
      <c r="DC267" s="65"/>
      <c r="DD267" s="65"/>
      <c r="DE267" s="65"/>
      <c r="DF267" s="65"/>
      <c r="DG267" s="65"/>
      <c r="DH267" s="65"/>
      <c r="DI267" s="65"/>
      <c r="DJ267" s="65"/>
      <c r="DK267" s="65"/>
      <c r="DL267" s="65"/>
      <c r="DM267" s="65"/>
      <c r="DN267" s="65"/>
      <c r="DO267" s="65"/>
      <c r="DP267" s="65"/>
      <c r="DQ267" s="65"/>
      <c r="DR267" s="65"/>
      <c r="DS267" s="65"/>
      <c r="DT267" s="65"/>
      <c r="DU267" s="65"/>
      <c r="DV267" s="65"/>
      <c r="DW267" s="65"/>
      <c r="DX267" s="65"/>
      <c r="DY267" s="65"/>
      <c r="DZ267" s="65"/>
      <c r="EA267" s="65"/>
      <c r="EB267" s="65"/>
      <c r="EC267" s="65"/>
      <c r="ED267" s="65"/>
      <c r="EE267" s="65"/>
      <c r="EF267" s="65"/>
      <c r="EG267" s="65"/>
      <c r="EH267" s="65"/>
      <c r="EI267" s="65"/>
      <c r="EJ267" s="65"/>
      <c r="EK267" s="65"/>
      <c r="EL267" s="65"/>
      <c r="EM267" s="65"/>
      <c r="EN267" s="65"/>
      <c r="EO267" s="65"/>
      <c r="EP267" s="65"/>
      <c r="EQ267" s="65"/>
      <c r="ER267" s="65"/>
      <c r="ES267" s="65"/>
      <c r="ET267" s="65"/>
      <c r="EU267" s="65"/>
      <c r="EV267" s="65"/>
      <c r="EW267" s="65"/>
      <c r="EX267" s="65"/>
      <c r="EY267" s="65"/>
      <c r="EZ267" s="65"/>
      <c r="FA267" s="65"/>
      <c r="FB267" s="65"/>
      <c r="FC267" s="65"/>
      <c r="FD267" s="65"/>
      <c r="FE267" s="65"/>
      <c r="FF267" s="65"/>
      <c r="FG267" s="65"/>
      <c r="FH267" s="65"/>
      <c r="FI267" s="65"/>
      <c r="FJ267" s="65"/>
      <c r="FK267" s="65"/>
      <c r="FL267" s="65"/>
      <c r="FM267" s="65"/>
      <c r="FN267" s="65"/>
      <c r="FO267" s="65"/>
      <c r="FP267" s="65"/>
      <c r="FQ267" s="65"/>
      <c r="FR267" s="65"/>
      <c r="FS267" s="65"/>
      <c r="FT267" s="65"/>
      <c r="FU267" s="65"/>
    </row>
    <row r="268" spans="10:177" s="1" customFormat="1">
      <c r="J268" s="65"/>
      <c r="K268" s="65"/>
      <c r="L268" s="65"/>
      <c r="M268" s="65"/>
      <c r="N268" s="65"/>
      <c r="O268" s="65"/>
      <c r="P268" s="65"/>
      <c r="Q268" s="65"/>
      <c r="R268" s="65"/>
      <c r="S268" s="65"/>
      <c r="T268" s="65"/>
      <c r="U268" s="65"/>
      <c r="V268" s="65"/>
      <c r="W268" s="65"/>
      <c r="X268" s="65"/>
      <c r="Y268" s="65"/>
      <c r="Z268" s="65"/>
      <c r="AA268" s="65"/>
      <c r="AB268" s="65"/>
      <c r="AC268" s="65"/>
      <c r="AD268" s="65"/>
      <c r="AE268" s="65"/>
      <c r="AF268" s="65"/>
      <c r="AG268" s="65"/>
      <c r="AH268" s="65"/>
      <c r="AI268" s="65"/>
      <c r="AJ268" s="65"/>
      <c r="AK268" s="65"/>
      <c r="AL268" s="65"/>
      <c r="AM268" s="65"/>
      <c r="AN268" s="65"/>
      <c r="AO268" s="65"/>
      <c r="AP268" s="65"/>
      <c r="AQ268" s="65"/>
      <c r="AR268" s="65"/>
      <c r="AS268" s="65"/>
      <c r="AT268" s="65"/>
      <c r="AU268" s="65"/>
      <c r="AV268" s="65"/>
      <c r="AW268" s="65"/>
      <c r="AX268" s="65"/>
      <c r="AY268" s="65"/>
      <c r="AZ268" s="65"/>
      <c r="BA268" s="65"/>
      <c r="BB268" s="65"/>
      <c r="BC268" s="65"/>
      <c r="BD268" s="65"/>
      <c r="BE268" s="65"/>
      <c r="BF268" s="65"/>
      <c r="BG268" s="65"/>
      <c r="BH268" s="65"/>
      <c r="BI268" s="65"/>
      <c r="BJ268" s="65"/>
      <c r="BK268" s="65"/>
      <c r="BL268" s="65"/>
      <c r="BM268" s="65"/>
      <c r="BN268" s="65"/>
      <c r="BO268" s="65"/>
      <c r="BP268" s="65"/>
      <c r="BQ268" s="65"/>
      <c r="BR268" s="65"/>
      <c r="BS268" s="65"/>
      <c r="BT268" s="65"/>
      <c r="BU268" s="65"/>
      <c r="BV268" s="65"/>
      <c r="BW268" s="65"/>
      <c r="BX268" s="65"/>
      <c r="BY268" s="65"/>
      <c r="BZ268" s="65"/>
      <c r="CA268" s="65"/>
      <c r="CB268" s="65"/>
      <c r="CC268" s="65"/>
      <c r="CD268" s="65"/>
      <c r="CE268" s="65"/>
      <c r="CF268" s="65"/>
      <c r="CG268" s="65"/>
      <c r="CH268" s="65"/>
      <c r="CI268" s="65"/>
      <c r="CJ268" s="65"/>
      <c r="CK268" s="65"/>
      <c r="CL268" s="65"/>
      <c r="CM268" s="65"/>
      <c r="CN268" s="65"/>
      <c r="CO268" s="65"/>
      <c r="CP268" s="65"/>
      <c r="CQ268" s="65"/>
      <c r="CR268" s="65"/>
      <c r="CS268" s="65"/>
      <c r="CT268" s="65"/>
      <c r="CU268" s="65"/>
      <c r="CV268" s="65"/>
      <c r="CW268" s="65"/>
      <c r="CX268" s="65"/>
      <c r="CY268" s="65"/>
      <c r="CZ268" s="65"/>
      <c r="DA268" s="65"/>
      <c r="DB268" s="65"/>
      <c r="DC268" s="65"/>
      <c r="DD268" s="65"/>
      <c r="DE268" s="65"/>
      <c r="DF268" s="65"/>
      <c r="DG268" s="65"/>
      <c r="DH268" s="65"/>
      <c r="DI268" s="65"/>
      <c r="DJ268" s="65"/>
      <c r="DK268" s="65"/>
      <c r="DL268" s="65"/>
      <c r="DM268" s="65"/>
      <c r="DN268" s="65"/>
      <c r="DO268" s="65"/>
      <c r="DP268" s="65"/>
      <c r="DQ268" s="65"/>
      <c r="DR268" s="65"/>
      <c r="DS268" s="65"/>
      <c r="DT268" s="65"/>
      <c r="DU268" s="65"/>
      <c r="DV268" s="65"/>
      <c r="DW268" s="65"/>
      <c r="DX268" s="65"/>
      <c r="DY268" s="65"/>
      <c r="DZ268" s="65"/>
      <c r="EA268" s="65"/>
      <c r="EB268" s="65"/>
      <c r="EC268" s="65"/>
      <c r="ED268" s="65"/>
      <c r="EE268" s="65"/>
      <c r="EF268" s="65"/>
      <c r="EG268" s="65"/>
      <c r="EH268" s="65"/>
      <c r="EI268" s="65"/>
      <c r="EJ268" s="65"/>
      <c r="EK268" s="65"/>
      <c r="EL268" s="65"/>
      <c r="EM268" s="65"/>
      <c r="EN268" s="65"/>
      <c r="EO268" s="65"/>
      <c r="EP268" s="65"/>
      <c r="EQ268" s="65"/>
      <c r="ER268" s="65"/>
      <c r="ES268" s="65"/>
      <c r="ET268" s="65"/>
      <c r="EU268" s="65"/>
      <c r="EV268" s="65"/>
      <c r="EW268" s="65"/>
      <c r="EX268" s="65"/>
      <c r="EY268" s="65"/>
      <c r="EZ268" s="65"/>
      <c r="FA268" s="65"/>
      <c r="FB268" s="65"/>
      <c r="FC268" s="65"/>
      <c r="FD268" s="65"/>
      <c r="FE268" s="65"/>
      <c r="FF268" s="65"/>
      <c r="FG268" s="65"/>
      <c r="FH268" s="65"/>
      <c r="FI268" s="65"/>
      <c r="FJ268" s="65"/>
      <c r="FK268" s="65"/>
      <c r="FL268" s="65"/>
      <c r="FM268" s="65"/>
      <c r="FN268" s="65"/>
      <c r="FO268" s="65"/>
      <c r="FP268" s="65"/>
      <c r="FQ268" s="65"/>
      <c r="FR268" s="65"/>
      <c r="FS268" s="65"/>
      <c r="FT268" s="65"/>
      <c r="FU268" s="65"/>
    </row>
    <row r="269" spans="10:177" s="1" customFormat="1">
      <c r="J269" s="65"/>
      <c r="K269" s="65"/>
      <c r="L269" s="65"/>
      <c r="M269" s="65"/>
      <c r="N269" s="65"/>
      <c r="O269" s="65"/>
      <c r="P269" s="65"/>
      <c r="Q269" s="65"/>
      <c r="R269" s="65"/>
      <c r="S269" s="65"/>
      <c r="T269" s="65"/>
      <c r="U269" s="65"/>
      <c r="V269" s="65"/>
      <c r="W269" s="65"/>
      <c r="X269" s="65"/>
      <c r="Y269" s="65"/>
      <c r="Z269" s="65"/>
      <c r="AA269" s="65"/>
      <c r="AB269" s="65"/>
      <c r="AC269" s="65"/>
      <c r="AD269" s="65"/>
      <c r="AE269" s="65"/>
      <c r="AF269" s="65"/>
      <c r="AG269" s="65"/>
      <c r="AH269" s="65"/>
      <c r="AI269" s="65"/>
      <c r="AJ269" s="65"/>
      <c r="AK269" s="65"/>
      <c r="AL269" s="65"/>
      <c r="AM269" s="65"/>
      <c r="AN269" s="65"/>
      <c r="AO269" s="65"/>
      <c r="AP269" s="65"/>
      <c r="AQ269" s="65"/>
      <c r="AR269" s="65"/>
      <c r="AS269" s="65"/>
      <c r="AT269" s="65"/>
      <c r="AU269" s="65"/>
      <c r="AV269" s="65"/>
      <c r="AW269" s="65"/>
      <c r="AX269" s="65"/>
      <c r="AY269" s="65"/>
      <c r="AZ269" s="65"/>
      <c r="BA269" s="65"/>
      <c r="BB269" s="65"/>
      <c r="BC269" s="65"/>
      <c r="BD269" s="65"/>
      <c r="BE269" s="65"/>
      <c r="BF269" s="65"/>
      <c r="BG269" s="65"/>
      <c r="BH269" s="65"/>
      <c r="BI269" s="65"/>
      <c r="BJ269" s="65"/>
      <c r="BK269" s="65"/>
      <c r="BL269" s="65"/>
      <c r="BM269" s="65"/>
      <c r="BN269" s="65"/>
      <c r="BO269" s="65"/>
      <c r="BP269" s="65"/>
      <c r="BQ269" s="65"/>
      <c r="BR269" s="65"/>
      <c r="BS269" s="65"/>
      <c r="BT269" s="65"/>
      <c r="BU269" s="65"/>
      <c r="BV269" s="65"/>
      <c r="BW269" s="65"/>
      <c r="BX269" s="65"/>
      <c r="BY269" s="65"/>
      <c r="BZ269" s="65"/>
      <c r="CA269" s="65"/>
      <c r="CB269" s="65"/>
      <c r="CC269" s="65"/>
      <c r="CD269" s="65"/>
      <c r="CE269" s="65"/>
      <c r="CF269" s="65"/>
      <c r="CG269" s="65"/>
      <c r="CH269" s="65"/>
      <c r="CI269" s="65"/>
      <c r="CJ269" s="65"/>
      <c r="CK269" s="65"/>
      <c r="CL269" s="65"/>
      <c r="CM269" s="65"/>
      <c r="CN269" s="65"/>
      <c r="CO269" s="65"/>
      <c r="CP269" s="65"/>
      <c r="CQ269" s="65"/>
      <c r="CR269" s="65"/>
      <c r="CS269" s="65"/>
      <c r="CT269" s="65"/>
      <c r="CU269" s="65"/>
      <c r="CV269" s="65"/>
      <c r="CW269" s="65"/>
      <c r="CX269" s="65"/>
      <c r="CY269" s="65"/>
      <c r="CZ269" s="65"/>
      <c r="DA269" s="65"/>
      <c r="DB269" s="65"/>
      <c r="DC269" s="65"/>
      <c r="DD269" s="65"/>
      <c r="DE269" s="65"/>
      <c r="DF269" s="65"/>
      <c r="DG269" s="65"/>
      <c r="DH269" s="65"/>
      <c r="DI269" s="65"/>
      <c r="DJ269" s="65"/>
      <c r="DK269" s="65"/>
      <c r="DL269" s="65"/>
      <c r="DM269" s="65"/>
      <c r="DN269" s="65"/>
      <c r="DO269" s="65"/>
      <c r="DP269" s="65"/>
      <c r="DQ269" s="65"/>
      <c r="DR269" s="65"/>
      <c r="DS269" s="65"/>
      <c r="DT269" s="65"/>
      <c r="DU269" s="65"/>
      <c r="DV269" s="65"/>
      <c r="DW269" s="65"/>
      <c r="DX269" s="65"/>
      <c r="DY269" s="65"/>
      <c r="DZ269" s="65"/>
      <c r="EA269" s="65"/>
      <c r="EB269" s="65"/>
      <c r="EC269" s="65"/>
      <c r="ED269" s="65"/>
      <c r="EE269" s="65"/>
      <c r="EF269" s="65"/>
      <c r="EG269" s="65"/>
      <c r="EH269" s="65"/>
      <c r="EI269" s="65"/>
      <c r="EJ269" s="65"/>
      <c r="EK269" s="65"/>
      <c r="EL269" s="65"/>
      <c r="EM269" s="65"/>
      <c r="EN269" s="65"/>
      <c r="EO269" s="65"/>
      <c r="EP269" s="65"/>
      <c r="EQ269" s="65"/>
      <c r="ER269" s="65"/>
      <c r="ES269" s="65"/>
      <c r="ET269" s="65"/>
      <c r="EU269" s="65"/>
      <c r="EV269" s="65"/>
      <c r="EW269" s="65"/>
      <c r="EX269" s="65"/>
      <c r="EY269" s="65"/>
      <c r="EZ269" s="65"/>
      <c r="FA269" s="65"/>
      <c r="FB269" s="65"/>
      <c r="FC269" s="65"/>
      <c r="FD269" s="65"/>
      <c r="FE269" s="65"/>
      <c r="FF269" s="65"/>
      <c r="FG269" s="65"/>
      <c r="FH269" s="65"/>
      <c r="FI269" s="65"/>
      <c r="FJ269" s="65"/>
      <c r="FK269" s="65"/>
      <c r="FL269" s="65"/>
      <c r="FM269" s="65"/>
      <c r="FN269" s="65"/>
      <c r="FO269" s="65"/>
      <c r="FP269" s="65"/>
      <c r="FQ269" s="65"/>
      <c r="FR269" s="65"/>
      <c r="FS269" s="65"/>
      <c r="FT269" s="65"/>
      <c r="FU269" s="65"/>
    </row>
    <row r="270" spans="10:177" s="1" customFormat="1">
      <c r="J270" s="65"/>
      <c r="K270" s="65"/>
      <c r="L270" s="65"/>
      <c r="M270" s="65"/>
      <c r="N270" s="65"/>
      <c r="O270" s="65"/>
      <c r="P270" s="65"/>
      <c r="Q270" s="65"/>
      <c r="R270" s="65"/>
      <c r="S270" s="65"/>
      <c r="T270" s="65"/>
      <c r="U270" s="65"/>
      <c r="V270" s="65"/>
      <c r="W270" s="65"/>
      <c r="X270" s="65"/>
      <c r="Y270" s="65"/>
      <c r="Z270" s="65"/>
      <c r="AA270" s="65"/>
      <c r="AB270" s="65"/>
      <c r="AC270" s="65"/>
      <c r="AD270" s="65"/>
      <c r="AE270" s="65"/>
      <c r="AF270" s="65"/>
      <c r="AG270" s="65"/>
      <c r="AH270" s="65"/>
      <c r="AI270" s="65"/>
      <c r="AJ270" s="65"/>
      <c r="AK270" s="65"/>
      <c r="AL270" s="65"/>
      <c r="AM270" s="65"/>
      <c r="AN270" s="65"/>
      <c r="AO270" s="65"/>
      <c r="AP270" s="65"/>
      <c r="AQ270" s="65"/>
      <c r="AR270" s="65"/>
      <c r="AS270" s="65"/>
      <c r="AT270" s="65"/>
      <c r="AU270" s="65"/>
      <c r="AV270" s="65"/>
      <c r="AW270" s="65"/>
      <c r="AX270" s="65"/>
      <c r="AY270" s="65"/>
      <c r="AZ270" s="65"/>
      <c r="BA270" s="65"/>
      <c r="BB270" s="65"/>
      <c r="BC270" s="65"/>
      <c r="BD270" s="65"/>
      <c r="BE270" s="65"/>
      <c r="BF270" s="65"/>
      <c r="BG270" s="65"/>
      <c r="BH270" s="65"/>
      <c r="BI270" s="65"/>
      <c r="BJ270" s="65"/>
      <c r="BK270" s="65"/>
      <c r="BL270" s="65"/>
      <c r="BM270" s="65"/>
      <c r="BN270" s="65"/>
      <c r="BO270" s="65"/>
      <c r="BP270" s="65"/>
      <c r="BQ270" s="65"/>
      <c r="BR270" s="65"/>
      <c r="BS270" s="65"/>
      <c r="BT270" s="65"/>
      <c r="BU270" s="65"/>
      <c r="BV270" s="65"/>
      <c r="BW270" s="65"/>
      <c r="BX270" s="65"/>
      <c r="BY270" s="65"/>
      <c r="BZ270" s="65"/>
      <c r="CA270" s="65"/>
      <c r="CB270" s="65"/>
      <c r="CC270" s="65"/>
      <c r="CD270" s="65"/>
      <c r="CE270" s="65"/>
      <c r="CF270" s="65"/>
      <c r="CG270" s="65"/>
      <c r="CH270" s="65"/>
      <c r="CI270" s="65"/>
      <c r="CJ270" s="65"/>
      <c r="CK270" s="65"/>
      <c r="CL270" s="65"/>
      <c r="CM270" s="65"/>
      <c r="CN270" s="65"/>
      <c r="CO270" s="65"/>
      <c r="CP270" s="65"/>
      <c r="CQ270" s="65"/>
      <c r="CR270" s="65"/>
      <c r="CS270" s="65"/>
      <c r="CT270" s="65"/>
      <c r="CU270" s="65"/>
      <c r="CV270" s="65"/>
      <c r="CW270" s="65"/>
      <c r="CX270" s="65"/>
      <c r="CY270" s="65"/>
      <c r="CZ270" s="65"/>
      <c r="DA270" s="65"/>
      <c r="DB270" s="65"/>
      <c r="DC270" s="65"/>
      <c r="DD270" s="65"/>
      <c r="DE270" s="65"/>
      <c r="DF270" s="65"/>
      <c r="DG270" s="65"/>
      <c r="DH270" s="65"/>
      <c r="DI270" s="65"/>
      <c r="DJ270" s="65"/>
      <c r="DK270" s="65"/>
      <c r="DL270" s="65"/>
      <c r="DM270" s="65"/>
      <c r="DN270" s="65"/>
      <c r="DO270" s="65"/>
      <c r="DP270" s="65"/>
      <c r="DQ270" s="65"/>
      <c r="DR270" s="65"/>
      <c r="DS270" s="65"/>
      <c r="DT270" s="65"/>
      <c r="DU270" s="65"/>
      <c r="DV270" s="65"/>
      <c r="DW270" s="65"/>
      <c r="DX270" s="65"/>
      <c r="DY270" s="65"/>
      <c r="DZ270" s="65"/>
      <c r="EA270" s="65"/>
      <c r="EB270" s="65"/>
      <c r="EC270" s="65"/>
      <c r="ED270" s="65"/>
      <c r="EE270" s="65"/>
      <c r="EF270" s="65"/>
      <c r="EG270" s="65"/>
      <c r="EH270" s="65"/>
      <c r="EI270" s="65"/>
      <c r="EJ270" s="65"/>
      <c r="EK270" s="65"/>
      <c r="EL270" s="65"/>
      <c r="EM270" s="65"/>
      <c r="EN270" s="65"/>
      <c r="EO270" s="65"/>
      <c r="EP270" s="65"/>
      <c r="EQ270" s="65"/>
      <c r="ER270" s="65"/>
      <c r="ES270" s="65"/>
      <c r="ET270" s="65"/>
      <c r="EU270" s="65"/>
      <c r="EV270" s="65"/>
      <c r="EW270" s="65"/>
      <c r="EX270" s="65"/>
      <c r="EY270" s="65"/>
      <c r="EZ270" s="65"/>
      <c r="FA270" s="65"/>
      <c r="FB270" s="65"/>
      <c r="FC270" s="65"/>
      <c r="FD270" s="65"/>
      <c r="FE270" s="65"/>
      <c r="FF270" s="65"/>
      <c r="FG270" s="65"/>
      <c r="FH270" s="65"/>
      <c r="FI270" s="65"/>
      <c r="FJ270" s="65"/>
      <c r="FK270" s="65"/>
      <c r="FL270" s="65"/>
      <c r="FM270" s="65"/>
      <c r="FN270" s="65"/>
      <c r="FO270" s="65"/>
      <c r="FP270" s="65"/>
      <c r="FQ270" s="65"/>
      <c r="FR270" s="65"/>
      <c r="FS270" s="65"/>
      <c r="FT270" s="65"/>
      <c r="FU270" s="65"/>
    </row>
    <row r="271" spans="10:177" s="1" customFormat="1">
      <c r="J271" s="65"/>
      <c r="K271" s="65"/>
      <c r="L271" s="65"/>
      <c r="M271" s="65"/>
      <c r="N271" s="65"/>
      <c r="O271" s="65"/>
      <c r="P271" s="65"/>
      <c r="Q271" s="65"/>
      <c r="R271" s="65"/>
      <c r="S271" s="65"/>
      <c r="T271" s="65"/>
      <c r="U271" s="65"/>
      <c r="V271" s="65"/>
      <c r="W271" s="65"/>
      <c r="X271" s="65"/>
      <c r="Y271" s="65"/>
      <c r="Z271" s="65"/>
      <c r="AA271" s="65"/>
      <c r="AB271" s="65"/>
      <c r="AC271" s="65"/>
      <c r="AD271" s="65"/>
      <c r="AE271" s="65"/>
      <c r="AF271" s="65"/>
      <c r="AG271" s="65"/>
      <c r="AH271" s="65"/>
      <c r="AI271" s="65"/>
      <c r="AJ271" s="65"/>
      <c r="AK271" s="65"/>
      <c r="AL271" s="65"/>
      <c r="AM271" s="65"/>
      <c r="AN271" s="65"/>
      <c r="AO271" s="65"/>
      <c r="AP271" s="65"/>
      <c r="AQ271" s="65"/>
      <c r="AR271" s="65"/>
      <c r="AS271" s="65"/>
      <c r="AT271" s="65"/>
      <c r="AU271" s="65"/>
      <c r="AV271" s="65"/>
      <c r="AW271" s="65"/>
      <c r="AX271" s="65"/>
      <c r="AY271" s="65"/>
      <c r="AZ271" s="65"/>
      <c r="BA271" s="65"/>
      <c r="BB271" s="65"/>
      <c r="BC271" s="65"/>
      <c r="BD271" s="65"/>
      <c r="BE271" s="65"/>
      <c r="BF271" s="65"/>
      <c r="BG271" s="65"/>
      <c r="BH271" s="65"/>
      <c r="BI271" s="65"/>
      <c r="BJ271" s="65"/>
      <c r="BK271" s="65"/>
      <c r="BL271" s="65"/>
      <c r="BM271" s="65"/>
      <c r="BN271" s="65"/>
      <c r="BO271" s="65"/>
      <c r="BP271" s="65"/>
      <c r="BQ271" s="65"/>
      <c r="BR271" s="65"/>
      <c r="BS271" s="65"/>
      <c r="BT271" s="65"/>
      <c r="BU271" s="65"/>
      <c r="BV271" s="65"/>
      <c r="BW271" s="65"/>
      <c r="BX271" s="65"/>
      <c r="BY271" s="65"/>
      <c r="BZ271" s="65"/>
      <c r="CA271" s="65"/>
      <c r="CB271" s="65"/>
      <c r="CC271" s="65"/>
      <c r="CD271" s="65"/>
      <c r="CE271" s="65"/>
      <c r="CF271" s="65"/>
      <c r="CG271" s="65"/>
      <c r="CH271" s="65"/>
      <c r="CI271" s="65"/>
      <c r="CJ271" s="65"/>
      <c r="CK271" s="65"/>
      <c r="CL271" s="65"/>
      <c r="CM271" s="65"/>
      <c r="CN271" s="65"/>
      <c r="CO271" s="65"/>
      <c r="CP271" s="65"/>
      <c r="CQ271" s="65"/>
      <c r="CR271" s="65"/>
      <c r="CS271" s="65"/>
      <c r="CT271" s="65"/>
      <c r="CU271" s="65"/>
      <c r="CV271" s="65"/>
      <c r="CW271" s="65"/>
      <c r="CX271" s="65"/>
      <c r="CY271" s="65"/>
      <c r="CZ271" s="65"/>
      <c r="DA271" s="65"/>
      <c r="DB271" s="65"/>
      <c r="DC271" s="65"/>
      <c r="DD271" s="65"/>
      <c r="DE271" s="65"/>
      <c r="DF271" s="65"/>
      <c r="DG271" s="65"/>
      <c r="DH271" s="65"/>
      <c r="DI271" s="65"/>
      <c r="DJ271" s="65"/>
      <c r="DK271" s="65"/>
      <c r="DL271" s="65"/>
      <c r="DM271" s="65"/>
      <c r="DN271" s="65"/>
      <c r="DO271" s="65"/>
      <c r="DP271" s="65"/>
      <c r="DQ271" s="65"/>
      <c r="DR271" s="65"/>
      <c r="DS271" s="65"/>
      <c r="DT271" s="65"/>
      <c r="DU271" s="65"/>
      <c r="DV271" s="65"/>
      <c r="DW271" s="65"/>
      <c r="DX271" s="65"/>
      <c r="DY271" s="65"/>
      <c r="DZ271" s="65"/>
      <c r="EA271" s="65"/>
      <c r="EB271" s="65"/>
      <c r="EC271" s="65"/>
      <c r="ED271" s="65"/>
      <c r="EE271" s="65"/>
      <c r="EF271" s="65"/>
      <c r="EG271" s="65"/>
      <c r="EH271" s="65"/>
      <c r="EI271" s="65"/>
      <c r="EJ271" s="65"/>
      <c r="EK271" s="65"/>
      <c r="EL271" s="65"/>
      <c r="EM271" s="65"/>
      <c r="EN271" s="65"/>
      <c r="EO271" s="65"/>
      <c r="EP271" s="65"/>
      <c r="EQ271" s="65"/>
      <c r="ER271" s="65"/>
      <c r="ES271" s="65"/>
      <c r="ET271" s="65"/>
      <c r="EU271" s="65"/>
      <c r="EV271" s="65"/>
      <c r="EW271" s="65"/>
      <c r="EX271" s="65"/>
      <c r="EY271" s="65"/>
      <c r="EZ271" s="65"/>
      <c r="FA271" s="65"/>
      <c r="FB271" s="65"/>
      <c r="FC271" s="65"/>
      <c r="FD271" s="65"/>
      <c r="FE271" s="65"/>
      <c r="FF271" s="65"/>
      <c r="FG271" s="65"/>
      <c r="FH271" s="65"/>
      <c r="FI271" s="65"/>
      <c r="FJ271" s="65"/>
      <c r="FK271" s="65"/>
      <c r="FL271" s="65"/>
      <c r="FM271" s="65"/>
      <c r="FN271" s="65"/>
      <c r="FO271" s="65"/>
      <c r="FP271" s="65"/>
      <c r="FQ271" s="65"/>
      <c r="FR271" s="65"/>
      <c r="FS271" s="65"/>
      <c r="FT271" s="65"/>
      <c r="FU271" s="65"/>
    </row>
    <row r="272" spans="10:177" s="1" customFormat="1">
      <c r="J272" s="65"/>
      <c r="K272" s="65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5"/>
      <c r="X272" s="65"/>
      <c r="Y272" s="65"/>
      <c r="Z272" s="65"/>
      <c r="AA272" s="65"/>
      <c r="AB272" s="65"/>
      <c r="AC272" s="65"/>
      <c r="AD272" s="65"/>
      <c r="AE272" s="65"/>
      <c r="AF272" s="65"/>
      <c r="AG272" s="65"/>
      <c r="AH272" s="65"/>
      <c r="AI272" s="65"/>
      <c r="AJ272" s="65"/>
      <c r="AK272" s="65"/>
      <c r="AL272" s="65"/>
      <c r="AM272" s="65"/>
      <c r="AN272" s="65"/>
      <c r="AO272" s="65"/>
      <c r="AP272" s="65"/>
      <c r="AQ272" s="65"/>
      <c r="AR272" s="65"/>
      <c r="AS272" s="65"/>
      <c r="AT272" s="65"/>
      <c r="AU272" s="65"/>
      <c r="AV272" s="65"/>
      <c r="AW272" s="65"/>
      <c r="AX272" s="65"/>
      <c r="AY272" s="65"/>
      <c r="AZ272" s="65"/>
      <c r="BA272" s="65"/>
      <c r="BB272" s="65"/>
      <c r="BC272" s="65"/>
      <c r="BD272" s="65"/>
      <c r="BE272" s="65"/>
      <c r="BF272" s="65"/>
      <c r="BG272" s="65"/>
      <c r="BH272" s="65"/>
      <c r="BI272" s="65"/>
      <c r="BJ272" s="65"/>
      <c r="BK272" s="65"/>
      <c r="BL272" s="65"/>
      <c r="BM272" s="65"/>
      <c r="BN272" s="65"/>
      <c r="BO272" s="65"/>
      <c r="BP272" s="65"/>
      <c r="BQ272" s="65"/>
      <c r="BR272" s="65"/>
      <c r="BS272" s="65"/>
      <c r="BT272" s="65"/>
      <c r="BU272" s="65"/>
      <c r="BV272" s="65"/>
      <c r="BW272" s="65"/>
      <c r="BX272" s="65"/>
      <c r="BY272" s="65"/>
      <c r="BZ272" s="65"/>
      <c r="CA272" s="65"/>
      <c r="CB272" s="65"/>
      <c r="CC272" s="65"/>
      <c r="CD272" s="65"/>
      <c r="CE272" s="65"/>
      <c r="CF272" s="65"/>
      <c r="CG272" s="65"/>
      <c r="CH272" s="65"/>
      <c r="CI272" s="65"/>
      <c r="CJ272" s="65"/>
      <c r="CK272" s="65"/>
      <c r="CL272" s="65"/>
      <c r="CM272" s="65"/>
      <c r="CN272" s="65"/>
      <c r="CO272" s="65"/>
      <c r="CP272" s="65"/>
      <c r="CQ272" s="65"/>
      <c r="CR272" s="65"/>
      <c r="CS272" s="65"/>
      <c r="CT272" s="65"/>
      <c r="CU272" s="65"/>
      <c r="CV272" s="65"/>
      <c r="CW272" s="65"/>
      <c r="CX272" s="65"/>
      <c r="CY272" s="65"/>
      <c r="CZ272" s="65"/>
      <c r="DA272" s="65"/>
      <c r="DB272" s="65"/>
      <c r="DC272" s="65"/>
      <c r="DD272" s="65"/>
      <c r="DE272" s="65"/>
      <c r="DF272" s="65"/>
      <c r="DG272" s="65"/>
      <c r="DH272" s="65"/>
      <c r="DI272" s="65"/>
      <c r="DJ272" s="65"/>
      <c r="DK272" s="65"/>
      <c r="DL272" s="65"/>
      <c r="DM272" s="65"/>
      <c r="DN272" s="65"/>
      <c r="DO272" s="65"/>
      <c r="DP272" s="65"/>
      <c r="DQ272" s="65"/>
      <c r="DR272" s="65"/>
      <c r="DS272" s="65"/>
      <c r="DT272" s="65"/>
      <c r="DU272" s="65"/>
      <c r="DV272" s="65"/>
      <c r="DW272" s="65"/>
      <c r="DX272" s="65"/>
      <c r="DY272" s="65"/>
      <c r="DZ272" s="65"/>
      <c r="EA272" s="65"/>
      <c r="EB272" s="65"/>
      <c r="EC272" s="65"/>
      <c r="ED272" s="65"/>
      <c r="EE272" s="65"/>
      <c r="EF272" s="65"/>
      <c r="EG272" s="65"/>
      <c r="EH272" s="65"/>
      <c r="EI272" s="65"/>
      <c r="EJ272" s="65"/>
      <c r="EK272" s="65"/>
      <c r="EL272" s="65"/>
      <c r="EM272" s="65"/>
      <c r="EN272" s="65"/>
      <c r="EO272" s="65"/>
      <c r="EP272" s="65"/>
      <c r="EQ272" s="65"/>
      <c r="ER272" s="65"/>
      <c r="ES272" s="65"/>
      <c r="ET272" s="65"/>
      <c r="EU272" s="65"/>
      <c r="EV272" s="65"/>
      <c r="EW272" s="65"/>
      <c r="EX272" s="65"/>
      <c r="EY272" s="65"/>
      <c r="EZ272" s="65"/>
      <c r="FA272" s="65"/>
      <c r="FB272" s="65"/>
      <c r="FC272" s="65"/>
      <c r="FD272" s="65"/>
      <c r="FE272" s="65"/>
      <c r="FF272" s="65"/>
      <c r="FG272" s="65"/>
      <c r="FH272" s="65"/>
      <c r="FI272" s="65"/>
      <c r="FJ272" s="65"/>
      <c r="FK272" s="65"/>
      <c r="FL272" s="65"/>
      <c r="FM272" s="65"/>
      <c r="FN272" s="65"/>
      <c r="FO272" s="65"/>
      <c r="FP272" s="65"/>
      <c r="FQ272" s="65"/>
      <c r="FR272" s="65"/>
      <c r="FS272" s="65"/>
      <c r="FT272" s="65"/>
      <c r="FU272" s="65"/>
    </row>
    <row r="273" spans="10:177" s="1" customFormat="1">
      <c r="J273" s="65"/>
      <c r="K273" s="65"/>
      <c r="L273" s="65"/>
      <c r="M273" s="65"/>
      <c r="N273" s="65"/>
      <c r="O273" s="65"/>
      <c r="P273" s="65"/>
      <c r="Q273" s="65"/>
      <c r="R273" s="65"/>
      <c r="S273" s="65"/>
      <c r="T273" s="65"/>
      <c r="U273" s="65"/>
      <c r="V273" s="65"/>
      <c r="W273" s="65"/>
      <c r="X273" s="65"/>
      <c r="Y273" s="65"/>
      <c r="Z273" s="65"/>
      <c r="AA273" s="65"/>
      <c r="AB273" s="65"/>
      <c r="AC273" s="65"/>
      <c r="AD273" s="65"/>
      <c r="AE273" s="65"/>
      <c r="AF273" s="65"/>
      <c r="AG273" s="65"/>
      <c r="AH273" s="65"/>
      <c r="AI273" s="65"/>
      <c r="AJ273" s="65"/>
      <c r="AK273" s="65"/>
      <c r="AL273" s="65"/>
      <c r="AM273" s="65"/>
      <c r="AN273" s="65"/>
      <c r="AO273" s="65"/>
      <c r="AP273" s="65"/>
      <c r="AQ273" s="65"/>
      <c r="AR273" s="65"/>
      <c r="AS273" s="65"/>
      <c r="AT273" s="65"/>
      <c r="AU273" s="65"/>
      <c r="AV273" s="65"/>
      <c r="AW273" s="65"/>
      <c r="AX273" s="65"/>
      <c r="AY273" s="65"/>
      <c r="AZ273" s="65"/>
      <c r="BA273" s="65"/>
      <c r="BB273" s="65"/>
      <c r="BC273" s="65"/>
      <c r="BD273" s="65"/>
      <c r="BE273" s="65"/>
      <c r="BF273" s="65"/>
      <c r="BG273" s="65"/>
      <c r="BH273" s="65"/>
      <c r="BI273" s="65"/>
      <c r="BJ273" s="65"/>
      <c r="BK273" s="65"/>
      <c r="BL273" s="65"/>
      <c r="BM273" s="65"/>
      <c r="BN273" s="65"/>
      <c r="BO273" s="65"/>
      <c r="BP273" s="65"/>
      <c r="BQ273" s="65"/>
      <c r="BR273" s="65"/>
      <c r="BS273" s="65"/>
      <c r="BT273" s="65"/>
      <c r="BU273" s="65"/>
      <c r="BV273" s="65"/>
      <c r="BW273" s="65"/>
      <c r="BX273" s="65"/>
      <c r="BY273" s="65"/>
      <c r="BZ273" s="65"/>
      <c r="CA273" s="65"/>
      <c r="CB273" s="65"/>
      <c r="CC273" s="65"/>
      <c r="CD273" s="65"/>
      <c r="CE273" s="65"/>
      <c r="CF273" s="65"/>
      <c r="CG273" s="65"/>
      <c r="CH273" s="65"/>
      <c r="CI273" s="65"/>
      <c r="CJ273" s="65"/>
      <c r="CK273" s="65"/>
      <c r="CL273" s="65"/>
      <c r="CM273" s="65"/>
      <c r="CN273" s="65"/>
      <c r="CO273" s="65"/>
      <c r="CP273" s="65"/>
      <c r="CQ273" s="65"/>
      <c r="CR273" s="65"/>
      <c r="CS273" s="65"/>
      <c r="CT273" s="65"/>
      <c r="CU273" s="65"/>
      <c r="CV273" s="65"/>
      <c r="CW273" s="65"/>
      <c r="CX273" s="65"/>
      <c r="CY273" s="65"/>
      <c r="CZ273" s="65"/>
      <c r="DA273" s="65"/>
      <c r="DB273" s="65"/>
      <c r="DC273" s="65"/>
      <c r="DD273" s="65"/>
      <c r="DE273" s="65"/>
      <c r="DF273" s="65"/>
      <c r="DG273" s="65"/>
      <c r="DH273" s="65"/>
      <c r="DI273" s="65"/>
      <c r="DJ273" s="65"/>
      <c r="DK273" s="65"/>
      <c r="DL273" s="65"/>
      <c r="DM273" s="65"/>
      <c r="DN273" s="65"/>
      <c r="DO273" s="65"/>
      <c r="DP273" s="65"/>
      <c r="DQ273" s="65"/>
      <c r="DR273" s="65"/>
      <c r="DS273" s="65"/>
      <c r="DT273" s="65"/>
      <c r="DU273" s="65"/>
      <c r="DV273" s="65"/>
      <c r="DW273" s="65"/>
      <c r="DX273" s="65"/>
      <c r="DY273" s="65"/>
      <c r="DZ273" s="65"/>
      <c r="EA273" s="65"/>
      <c r="EB273" s="65"/>
      <c r="EC273" s="65"/>
      <c r="ED273" s="65"/>
      <c r="EE273" s="65"/>
      <c r="EF273" s="65"/>
      <c r="EG273" s="65"/>
      <c r="EH273" s="65"/>
      <c r="EI273" s="65"/>
      <c r="EJ273" s="65"/>
      <c r="EK273" s="65"/>
      <c r="EL273" s="65"/>
      <c r="EM273" s="65"/>
      <c r="EN273" s="65"/>
      <c r="EO273" s="65"/>
      <c r="EP273" s="65"/>
      <c r="EQ273" s="65"/>
      <c r="ER273" s="65"/>
      <c r="ES273" s="65"/>
      <c r="ET273" s="65"/>
      <c r="EU273" s="65"/>
      <c r="EV273" s="65"/>
      <c r="EW273" s="65"/>
      <c r="EX273" s="65"/>
      <c r="EY273" s="65"/>
      <c r="EZ273" s="65"/>
      <c r="FA273" s="65"/>
      <c r="FB273" s="65"/>
      <c r="FC273" s="65"/>
      <c r="FD273" s="65"/>
      <c r="FE273" s="65"/>
      <c r="FF273" s="65"/>
      <c r="FG273" s="65"/>
      <c r="FH273" s="65"/>
      <c r="FI273" s="65"/>
      <c r="FJ273" s="65"/>
      <c r="FK273" s="65"/>
      <c r="FL273" s="65"/>
      <c r="FM273" s="65"/>
      <c r="FN273" s="65"/>
      <c r="FO273" s="65"/>
      <c r="FP273" s="65"/>
      <c r="FQ273" s="65"/>
      <c r="FR273" s="65"/>
      <c r="FS273" s="65"/>
      <c r="FT273" s="65"/>
      <c r="FU273" s="65"/>
    </row>
    <row r="274" spans="10:177" s="1" customFormat="1">
      <c r="J274" s="65"/>
      <c r="K274" s="65"/>
      <c r="L274" s="65"/>
      <c r="M274" s="65"/>
      <c r="N274" s="65"/>
      <c r="O274" s="65"/>
      <c r="P274" s="65"/>
      <c r="Q274" s="65"/>
      <c r="R274" s="65"/>
      <c r="S274" s="65"/>
      <c r="T274" s="65"/>
      <c r="U274" s="65"/>
      <c r="V274" s="65"/>
      <c r="W274" s="65"/>
      <c r="X274" s="65"/>
      <c r="Y274" s="65"/>
      <c r="Z274" s="65"/>
      <c r="AA274" s="65"/>
      <c r="AB274" s="65"/>
      <c r="AC274" s="65"/>
      <c r="AD274" s="65"/>
      <c r="AE274" s="65"/>
      <c r="AF274" s="65"/>
      <c r="AG274" s="65"/>
      <c r="AH274" s="65"/>
      <c r="AI274" s="65"/>
      <c r="AJ274" s="65"/>
      <c r="AK274" s="65"/>
      <c r="AL274" s="65"/>
      <c r="AM274" s="65"/>
      <c r="AN274" s="65"/>
      <c r="AO274" s="65"/>
      <c r="AP274" s="65"/>
      <c r="AQ274" s="65"/>
      <c r="AR274" s="65"/>
      <c r="AS274" s="65"/>
      <c r="AT274" s="65"/>
      <c r="AU274" s="65"/>
      <c r="AV274" s="65"/>
      <c r="AW274" s="65"/>
      <c r="AX274" s="65"/>
      <c r="AY274" s="65"/>
      <c r="AZ274" s="65"/>
      <c r="BA274" s="65"/>
      <c r="BB274" s="65"/>
      <c r="BC274" s="65"/>
      <c r="BD274" s="65"/>
      <c r="BE274" s="65"/>
      <c r="BF274" s="65"/>
      <c r="BG274" s="65"/>
      <c r="BH274" s="65"/>
      <c r="BI274" s="65"/>
      <c r="BJ274" s="65"/>
      <c r="BK274" s="65"/>
      <c r="BL274" s="65"/>
      <c r="BM274" s="65"/>
      <c r="BN274" s="65"/>
      <c r="BO274" s="65"/>
      <c r="BP274" s="65"/>
      <c r="BQ274" s="65"/>
      <c r="BR274" s="65"/>
      <c r="BS274" s="65"/>
      <c r="BT274" s="65"/>
      <c r="BU274" s="65"/>
      <c r="BV274" s="65"/>
      <c r="BW274" s="65"/>
      <c r="BX274" s="65"/>
      <c r="BY274" s="65"/>
      <c r="BZ274" s="65"/>
      <c r="CA274" s="65"/>
      <c r="CB274" s="65"/>
      <c r="CC274" s="65"/>
      <c r="CD274" s="65"/>
      <c r="CE274" s="65"/>
      <c r="CF274" s="65"/>
      <c r="CG274" s="65"/>
      <c r="CH274" s="65"/>
      <c r="CI274" s="65"/>
      <c r="CJ274" s="65"/>
      <c r="CK274" s="65"/>
      <c r="CL274" s="65"/>
      <c r="CM274" s="65"/>
      <c r="CN274" s="65"/>
      <c r="CO274" s="65"/>
      <c r="CP274" s="65"/>
      <c r="CQ274" s="65"/>
      <c r="CR274" s="65"/>
      <c r="CS274" s="65"/>
      <c r="CT274" s="65"/>
      <c r="CU274" s="65"/>
      <c r="CV274" s="65"/>
      <c r="CW274" s="65"/>
      <c r="CX274" s="65"/>
      <c r="CY274" s="65"/>
      <c r="CZ274" s="65"/>
      <c r="DA274" s="65"/>
      <c r="DB274" s="65"/>
      <c r="DC274" s="65"/>
      <c r="DD274" s="65"/>
      <c r="DE274" s="65"/>
      <c r="DF274" s="65"/>
      <c r="DG274" s="65"/>
      <c r="DH274" s="65"/>
      <c r="DI274" s="65"/>
      <c r="DJ274" s="65"/>
      <c r="DK274" s="65"/>
      <c r="DL274" s="65"/>
      <c r="DM274" s="65"/>
      <c r="DN274" s="65"/>
      <c r="DO274" s="65"/>
      <c r="DP274" s="65"/>
      <c r="DQ274" s="65"/>
      <c r="DR274" s="65"/>
      <c r="DS274" s="65"/>
      <c r="DT274" s="65"/>
      <c r="DU274" s="65"/>
      <c r="DV274" s="65"/>
      <c r="DW274" s="65"/>
      <c r="DX274" s="65"/>
      <c r="DY274" s="65"/>
      <c r="DZ274" s="65"/>
      <c r="EA274" s="65"/>
      <c r="EB274" s="65"/>
      <c r="EC274" s="65"/>
      <c r="ED274" s="65"/>
      <c r="EE274" s="65"/>
      <c r="EF274" s="65"/>
      <c r="EG274" s="65"/>
      <c r="EH274" s="65"/>
      <c r="EI274" s="65"/>
      <c r="EJ274" s="65"/>
      <c r="EK274" s="65"/>
      <c r="EL274" s="65"/>
      <c r="EM274" s="65"/>
      <c r="EN274" s="65"/>
      <c r="EO274" s="65"/>
      <c r="EP274" s="65"/>
      <c r="EQ274" s="65"/>
      <c r="ER274" s="65"/>
      <c r="ES274" s="65"/>
      <c r="ET274" s="65"/>
      <c r="EU274" s="65"/>
      <c r="EV274" s="65"/>
      <c r="EW274" s="65"/>
      <c r="EX274" s="65"/>
      <c r="EY274" s="65"/>
      <c r="EZ274" s="65"/>
      <c r="FA274" s="65"/>
      <c r="FB274" s="65"/>
      <c r="FC274" s="65"/>
      <c r="FD274" s="65"/>
      <c r="FE274" s="65"/>
      <c r="FF274" s="65"/>
      <c r="FG274" s="65"/>
      <c r="FH274" s="65"/>
      <c r="FI274" s="65"/>
      <c r="FJ274" s="65"/>
      <c r="FK274" s="65"/>
      <c r="FL274" s="65"/>
      <c r="FM274" s="65"/>
      <c r="FN274" s="65"/>
      <c r="FO274" s="65"/>
      <c r="FP274" s="65"/>
      <c r="FQ274" s="65"/>
      <c r="FR274" s="65"/>
      <c r="FS274" s="65"/>
      <c r="FT274" s="65"/>
      <c r="FU274" s="65"/>
    </row>
    <row r="275" spans="10:177" s="1" customFormat="1">
      <c r="J275" s="65"/>
      <c r="K275" s="65"/>
      <c r="L275" s="65"/>
      <c r="M275" s="65"/>
      <c r="N275" s="65"/>
      <c r="O275" s="65"/>
      <c r="P275" s="65"/>
      <c r="Q275" s="65"/>
      <c r="R275" s="65"/>
      <c r="S275" s="65"/>
      <c r="T275" s="65"/>
      <c r="U275" s="65"/>
      <c r="V275" s="65"/>
      <c r="W275" s="65"/>
      <c r="X275" s="65"/>
      <c r="Y275" s="65"/>
      <c r="Z275" s="65"/>
      <c r="AA275" s="65"/>
      <c r="AB275" s="65"/>
      <c r="AC275" s="65"/>
      <c r="AD275" s="65"/>
      <c r="AE275" s="65"/>
      <c r="AF275" s="65"/>
      <c r="AG275" s="65"/>
      <c r="AH275" s="65"/>
      <c r="AI275" s="65"/>
      <c r="AJ275" s="65"/>
      <c r="AK275" s="65"/>
      <c r="AL275" s="65"/>
      <c r="AM275" s="65"/>
      <c r="AN275" s="65"/>
      <c r="AO275" s="65"/>
      <c r="AP275" s="65"/>
      <c r="AQ275" s="65"/>
      <c r="AR275" s="65"/>
      <c r="AS275" s="65"/>
      <c r="AT275" s="65"/>
      <c r="AU275" s="65"/>
      <c r="AV275" s="65"/>
      <c r="AW275" s="65"/>
      <c r="AX275" s="65"/>
      <c r="AY275" s="65"/>
      <c r="AZ275" s="65"/>
      <c r="BA275" s="65"/>
      <c r="BB275" s="65"/>
      <c r="BC275" s="65"/>
      <c r="BD275" s="65"/>
      <c r="BE275" s="65"/>
      <c r="BF275" s="65"/>
      <c r="BG275" s="65"/>
      <c r="BH275" s="65"/>
      <c r="BI275" s="65"/>
      <c r="BJ275" s="65"/>
      <c r="BK275" s="65"/>
      <c r="BL275" s="65"/>
      <c r="BM275" s="65"/>
      <c r="BN275" s="65"/>
      <c r="BO275" s="65"/>
      <c r="BP275" s="65"/>
      <c r="BQ275" s="65"/>
      <c r="BR275" s="65"/>
      <c r="BS275" s="65"/>
      <c r="BT275" s="65"/>
      <c r="BU275" s="65"/>
      <c r="BV275" s="65"/>
      <c r="BW275" s="65"/>
      <c r="BX275" s="65"/>
      <c r="BY275" s="65"/>
      <c r="BZ275" s="65"/>
      <c r="CA275" s="65"/>
      <c r="CB275" s="65"/>
      <c r="CC275" s="65"/>
      <c r="CD275" s="65"/>
      <c r="CE275" s="65"/>
      <c r="CF275" s="65"/>
      <c r="CG275" s="65"/>
      <c r="CH275" s="65"/>
      <c r="CI275" s="65"/>
      <c r="CJ275" s="65"/>
      <c r="CK275" s="65"/>
      <c r="CL275" s="65"/>
      <c r="CM275" s="65"/>
      <c r="CN275" s="65"/>
      <c r="CO275" s="65"/>
      <c r="CP275" s="65"/>
      <c r="CQ275" s="65"/>
      <c r="CR275" s="65"/>
      <c r="CS275" s="65"/>
      <c r="CT275" s="65"/>
      <c r="CU275" s="65"/>
      <c r="CV275" s="65"/>
      <c r="CW275" s="65"/>
      <c r="CX275" s="65"/>
      <c r="CY275" s="65"/>
      <c r="CZ275" s="65"/>
      <c r="DA275" s="65"/>
      <c r="DB275" s="65"/>
      <c r="DC275" s="65"/>
      <c r="DD275" s="65"/>
      <c r="DE275" s="65"/>
      <c r="DF275" s="65"/>
      <c r="DG275" s="65"/>
      <c r="DH275" s="65"/>
      <c r="DI275" s="65"/>
      <c r="DJ275" s="65"/>
      <c r="DK275" s="65"/>
      <c r="DL275" s="65"/>
      <c r="DM275" s="65"/>
      <c r="DN275" s="65"/>
      <c r="DO275" s="65"/>
      <c r="DP275" s="65"/>
      <c r="DQ275" s="65"/>
      <c r="DR275" s="65"/>
      <c r="DS275" s="65"/>
      <c r="DT275" s="65"/>
      <c r="DU275" s="65"/>
      <c r="DV275" s="65"/>
      <c r="DW275" s="65"/>
      <c r="DX275" s="65"/>
      <c r="DY275" s="65"/>
      <c r="DZ275" s="65"/>
      <c r="EA275" s="65"/>
      <c r="EB275" s="65"/>
      <c r="EC275" s="65"/>
      <c r="ED275" s="65"/>
      <c r="EE275" s="65"/>
      <c r="EF275" s="65"/>
      <c r="EG275" s="65"/>
      <c r="EH275" s="65"/>
      <c r="EI275" s="65"/>
      <c r="EJ275" s="65"/>
      <c r="EK275" s="65"/>
      <c r="EL275" s="65"/>
      <c r="EM275" s="65"/>
      <c r="EN275" s="65"/>
      <c r="EO275" s="65"/>
      <c r="EP275" s="65"/>
      <c r="EQ275" s="65"/>
      <c r="ER275" s="65"/>
      <c r="ES275" s="65"/>
      <c r="ET275" s="65"/>
      <c r="EU275" s="65"/>
      <c r="EV275" s="65"/>
      <c r="EW275" s="65"/>
      <c r="EX275" s="65"/>
      <c r="EY275" s="65"/>
      <c r="EZ275" s="65"/>
      <c r="FA275" s="65"/>
      <c r="FB275" s="65"/>
      <c r="FC275" s="65"/>
      <c r="FD275" s="65"/>
      <c r="FE275" s="65"/>
      <c r="FF275" s="65"/>
      <c r="FG275" s="65"/>
      <c r="FH275" s="65"/>
      <c r="FI275" s="65"/>
      <c r="FJ275" s="65"/>
      <c r="FK275" s="65"/>
      <c r="FL275" s="65"/>
      <c r="FM275" s="65"/>
      <c r="FN275" s="65"/>
      <c r="FO275" s="65"/>
      <c r="FP275" s="65"/>
      <c r="FQ275" s="65"/>
      <c r="FR275" s="65"/>
      <c r="FS275" s="65"/>
      <c r="FT275" s="65"/>
      <c r="FU275" s="65"/>
    </row>
    <row r="276" spans="10:177" s="1" customFormat="1">
      <c r="J276" s="65"/>
      <c r="K276" s="65"/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65"/>
      <c r="Z276" s="65"/>
      <c r="AA276" s="65"/>
      <c r="AB276" s="65"/>
      <c r="AC276" s="65"/>
      <c r="AD276" s="65"/>
      <c r="AE276" s="65"/>
      <c r="AF276" s="65"/>
      <c r="AG276" s="65"/>
      <c r="AH276" s="65"/>
      <c r="AI276" s="65"/>
      <c r="AJ276" s="65"/>
      <c r="AK276" s="65"/>
      <c r="AL276" s="65"/>
      <c r="AM276" s="65"/>
      <c r="AN276" s="65"/>
      <c r="AO276" s="65"/>
      <c r="AP276" s="65"/>
      <c r="AQ276" s="65"/>
      <c r="AR276" s="65"/>
      <c r="AS276" s="65"/>
      <c r="AT276" s="65"/>
      <c r="AU276" s="65"/>
      <c r="AV276" s="65"/>
      <c r="AW276" s="65"/>
      <c r="AX276" s="65"/>
      <c r="AY276" s="65"/>
      <c r="AZ276" s="65"/>
      <c r="BA276" s="65"/>
      <c r="BB276" s="65"/>
      <c r="BC276" s="65"/>
      <c r="BD276" s="65"/>
      <c r="BE276" s="65"/>
      <c r="BF276" s="65"/>
      <c r="BG276" s="65"/>
      <c r="BH276" s="65"/>
      <c r="BI276" s="65"/>
      <c r="BJ276" s="65"/>
      <c r="BK276" s="65"/>
      <c r="BL276" s="65"/>
      <c r="BM276" s="65"/>
      <c r="BN276" s="65"/>
      <c r="BO276" s="65"/>
      <c r="BP276" s="65"/>
      <c r="BQ276" s="65"/>
      <c r="BR276" s="65"/>
      <c r="BS276" s="65"/>
      <c r="BT276" s="65"/>
      <c r="BU276" s="65"/>
      <c r="BV276" s="65"/>
      <c r="BW276" s="65"/>
      <c r="BX276" s="65"/>
      <c r="BY276" s="65"/>
      <c r="BZ276" s="65"/>
      <c r="CA276" s="65"/>
      <c r="CB276" s="65"/>
      <c r="CC276" s="65"/>
      <c r="CD276" s="65"/>
      <c r="CE276" s="65"/>
      <c r="CF276" s="65"/>
      <c r="CG276" s="65"/>
      <c r="CH276" s="65"/>
      <c r="CI276" s="65"/>
      <c r="CJ276" s="65"/>
      <c r="CK276" s="65"/>
      <c r="CL276" s="65"/>
      <c r="CM276" s="65"/>
      <c r="CN276" s="65"/>
      <c r="CO276" s="65"/>
      <c r="CP276" s="65"/>
      <c r="CQ276" s="65"/>
      <c r="CR276" s="65"/>
      <c r="CS276" s="65"/>
      <c r="CT276" s="65"/>
      <c r="CU276" s="65"/>
      <c r="CV276" s="65"/>
      <c r="CW276" s="65"/>
      <c r="CX276" s="65"/>
      <c r="CY276" s="65"/>
      <c r="CZ276" s="65"/>
      <c r="DA276" s="65"/>
      <c r="DB276" s="65"/>
      <c r="DC276" s="65"/>
      <c r="DD276" s="65"/>
      <c r="DE276" s="65"/>
      <c r="DF276" s="65"/>
      <c r="DG276" s="65"/>
      <c r="DH276" s="65"/>
      <c r="DI276" s="65"/>
      <c r="DJ276" s="65"/>
      <c r="DK276" s="65"/>
      <c r="DL276" s="65"/>
      <c r="DM276" s="65"/>
      <c r="DN276" s="65"/>
      <c r="DO276" s="65"/>
      <c r="DP276" s="65"/>
      <c r="DQ276" s="65"/>
      <c r="DR276" s="65"/>
      <c r="DS276" s="65"/>
      <c r="DT276" s="65"/>
      <c r="DU276" s="65"/>
      <c r="DV276" s="65"/>
      <c r="DW276" s="65"/>
      <c r="DX276" s="65"/>
      <c r="DY276" s="65"/>
      <c r="DZ276" s="65"/>
      <c r="EA276" s="65"/>
      <c r="EB276" s="65"/>
      <c r="EC276" s="65"/>
      <c r="ED276" s="65"/>
      <c r="EE276" s="65"/>
      <c r="EF276" s="65"/>
      <c r="EG276" s="65"/>
      <c r="EH276" s="65"/>
      <c r="EI276" s="65"/>
      <c r="EJ276" s="65"/>
      <c r="EK276" s="65"/>
      <c r="EL276" s="65"/>
      <c r="EM276" s="65"/>
      <c r="EN276" s="65"/>
      <c r="EO276" s="65"/>
      <c r="EP276" s="65"/>
      <c r="EQ276" s="65"/>
      <c r="ER276" s="65"/>
      <c r="ES276" s="65"/>
      <c r="ET276" s="65"/>
      <c r="EU276" s="65"/>
      <c r="EV276" s="65"/>
      <c r="EW276" s="65"/>
      <c r="EX276" s="65"/>
      <c r="EY276" s="65"/>
      <c r="EZ276" s="65"/>
      <c r="FA276" s="65"/>
      <c r="FB276" s="65"/>
      <c r="FC276" s="65"/>
      <c r="FD276" s="65"/>
      <c r="FE276" s="65"/>
      <c r="FF276" s="65"/>
      <c r="FG276" s="65"/>
      <c r="FH276" s="65"/>
      <c r="FI276" s="65"/>
      <c r="FJ276" s="65"/>
      <c r="FK276" s="65"/>
      <c r="FL276" s="65"/>
      <c r="FM276" s="65"/>
      <c r="FN276" s="65"/>
      <c r="FO276" s="65"/>
      <c r="FP276" s="65"/>
      <c r="FQ276" s="65"/>
      <c r="FR276" s="65"/>
      <c r="FS276" s="65"/>
      <c r="FT276" s="65"/>
      <c r="FU276" s="65"/>
    </row>
    <row r="277" spans="10:177" s="1" customFormat="1">
      <c r="J277" s="65"/>
      <c r="K277" s="65"/>
      <c r="L277" s="65"/>
      <c r="M277" s="65"/>
      <c r="N277" s="65"/>
      <c r="O277" s="65"/>
      <c r="P277" s="65"/>
      <c r="Q277" s="65"/>
      <c r="R277" s="65"/>
      <c r="S277" s="65"/>
      <c r="T277" s="65"/>
      <c r="U277" s="65"/>
      <c r="V277" s="65"/>
      <c r="W277" s="65"/>
      <c r="X277" s="65"/>
      <c r="Y277" s="65"/>
      <c r="Z277" s="65"/>
      <c r="AA277" s="65"/>
      <c r="AB277" s="65"/>
      <c r="AC277" s="65"/>
      <c r="AD277" s="65"/>
      <c r="AE277" s="65"/>
      <c r="AF277" s="65"/>
      <c r="AG277" s="65"/>
      <c r="AH277" s="65"/>
      <c r="AI277" s="65"/>
      <c r="AJ277" s="65"/>
      <c r="AK277" s="65"/>
      <c r="AL277" s="65"/>
      <c r="AM277" s="65"/>
      <c r="AN277" s="65"/>
      <c r="AO277" s="65"/>
      <c r="AP277" s="65"/>
      <c r="AQ277" s="65"/>
      <c r="AR277" s="65"/>
      <c r="AS277" s="65"/>
      <c r="AT277" s="65"/>
      <c r="AU277" s="65"/>
      <c r="AV277" s="65"/>
      <c r="AW277" s="65"/>
      <c r="AX277" s="65"/>
      <c r="AY277" s="65"/>
      <c r="AZ277" s="65"/>
      <c r="BA277" s="65"/>
      <c r="BB277" s="65"/>
      <c r="BC277" s="65"/>
      <c r="BD277" s="65"/>
      <c r="BE277" s="65"/>
      <c r="BF277" s="65"/>
      <c r="BG277" s="65"/>
      <c r="BH277" s="65"/>
      <c r="BI277" s="65"/>
      <c r="BJ277" s="65"/>
      <c r="BK277" s="65"/>
      <c r="BL277" s="65"/>
      <c r="BM277" s="65"/>
      <c r="BN277" s="65"/>
      <c r="BO277" s="65"/>
      <c r="BP277" s="65"/>
      <c r="BQ277" s="65"/>
      <c r="BR277" s="65"/>
      <c r="BS277" s="65"/>
      <c r="BT277" s="65"/>
      <c r="BU277" s="65"/>
      <c r="BV277" s="65"/>
      <c r="BW277" s="65"/>
      <c r="BX277" s="65"/>
      <c r="BY277" s="65"/>
      <c r="BZ277" s="65"/>
      <c r="CA277" s="65"/>
      <c r="CB277" s="65"/>
      <c r="CC277" s="65"/>
      <c r="CD277" s="65"/>
      <c r="CE277" s="65"/>
      <c r="CF277" s="65"/>
      <c r="CG277" s="65"/>
      <c r="CH277" s="65"/>
      <c r="CI277" s="65"/>
      <c r="CJ277" s="65"/>
      <c r="CK277" s="65"/>
      <c r="CL277" s="65"/>
      <c r="CM277" s="65"/>
      <c r="CN277" s="65"/>
      <c r="CO277" s="65"/>
      <c r="CP277" s="65"/>
      <c r="CQ277" s="65"/>
      <c r="CR277" s="65"/>
      <c r="CS277" s="65"/>
      <c r="CT277" s="65"/>
      <c r="CU277" s="65"/>
      <c r="CV277" s="65"/>
      <c r="CW277" s="65"/>
      <c r="CX277" s="65"/>
      <c r="CY277" s="65"/>
      <c r="CZ277" s="65"/>
      <c r="DA277" s="65"/>
      <c r="DB277" s="65"/>
      <c r="DC277" s="65"/>
      <c r="DD277" s="65"/>
      <c r="DE277" s="65"/>
      <c r="DF277" s="65"/>
      <c r="DG277" s="65"/>
      <c r="DH277" s="65"/>
      <c r="DI277" s="65"/>
      <c r="DJ277" s="65"/>
      <c r="DK277" s="65"/>
      <c r="DL277" s="65"/>
      <c r="DM277" s="65"/>
      <c r="DN277" s="65"/>
      <c r="DO277" s="65"/>
      <c r="DP277" s="65"/>
      <c r="DQ277" s="65"/>
      <c r="DR277" s="65"/>
      <c r="DS277" s="65"/>
      <c r="DT277" s="65"/>
      <c r="DU277" s="65"/>
      <c r="DV277" s="65"/>
      <c r="DW277" s="65"/>
      <c r="DX277" s="65"/>
      <c r="DY277" s="65"/>
      <c r="DZ277" s="65"/>
      <c r="EA277" s="65"/>
      <c r="EB277" s="65"/>
      <c r="EC277" s="65"/>
      <c r="ED277" s="65"/>
      <c r="EE277" s="65"/>
      <c r="EF277" s="65"/>
      <c r="EG277" s="65"/>
      <c r="EH277" s="65"/>
      <c r="EI277" s="65"/>
      <c r="EJ277" s="65"/>
      <c r="EK277" s="65"/>
      <c r="EL277" s="65"/>
      <c r="EM277" s="65"/>
      <c r="EN277" s="65"/>
      <c r="EO277" s="65"/>
      <c r="EP277" s="65"/>
      <c r="EQ277" s="65"/>
      <c r="ER277" s="65"/>
      <c r="ES277" s="65"/>
      <c r="ET277" s="65"/>
      <c r="EU277" s="65"/>
      <c r="EV277" s="65"/>
      <c r="EW277" s="65"/>
      <c r="EX277" s="65"/>
      <c r="EY277" s="65"/>
      <c r="EZ277" s="65"/>
      <c r="FA277" s="65"/>
      <c r="FB277" s="65"/>
      <c r="FC277" s="65"/>
      <c r="FD277" s="65"/>
      <c r="FE277" s="65"/>
      <c r="FF277" s="65"/>
      <c r="FG277" s="65"/>
      <c r="FH277" s="65"/>
      <c r="FI277" s="65"/>
      <c r="FJ277" s="65"/>
      <c r="FK277" s="65"/>
      <c r="FL277" s="65"/>
      <c r="FM277" s="65"/>
      <c r="FN277" s="65"/>
      <c r="FO277" s="65"/>
      <c r="FP277" s="65"/>
      <c r="FQ277" s="65"/>
      <c r="FR277" s="65"/>
      <c r="FS277" s="65"/>
      <c r="FT277" s="65"/>
      <c r="FU277" s="65"/>
    </row>
    <row r="278" spans="10:177" s="1" customFormat="1"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65"/>
      <c r="X278" s="65"/>
      <c r="Y278" s="65"/>
      <c r="Z278" s="65"/>
      <c r="AA278" s="65"/>
      <c r="AB278" s="65"/>
      <c r="AC278" s="65"/>
      <c r="AD278" s="65"/>
      <c r="AE278" s="65"/>
      <c r="AF278" s="65"/>
      <c r="AG278" s="65"/>
      <c r="AH278" s="65"/>
      <c r="AI278" s="65"/>
      <c r="AJ278" s="65"/>
      <c r="AK278" s="65"/>
      <c r="AL278" s="65"/>
      <c r="AM278" s="65"/>
      <c r="AN278" s="65"/>
      <c r="AO278" s="65"/>
      <c r="AP278" s="65"/>
      <c r="AQ278" s="65"/>
      <c r="AR278" s="65"/>
      <c r="AS278" s="65"/>
      <c r="AT278" s="65"/>
      <c r="AU278" s="65"/>
      <c r="AV278" s="65"/>
      <c r="AW278" s="65"/>
      <c r="AX278" s="65"/>
      <c r="AY278" s="65"/>
      <c r="AZ278" s="65"/>
      <c r="BA278" s="65"/>
      <c r="BB278" s="65"/>
      <c r="BC278" s="65"/>
      <c r="BD278" s="65"/>
      <c r="BE278" s="65"/>
      <c r="BF278" s="65"/>
      <c r="BG278" s="65"/>
      <c r="BH278" s="65"/>
      <c r="BI278" s="65"/>
      <c r="BJ278" s="65"/>
      <c r="BK278" s="65"/>
      <c r="BL278" s="65"/>
      <c r="BM278" s="65"/>
      <c r="BN278" s="65"/>
      <c r="BO278" s="65"/>
      <c r="BP278" s="65"/>
      <c r="BQ278" s="65"/>
      <c r="BR278" s="65"/>
      <c r="BS278" s="65"/>
      <c r="BT278" s="65"/>
      <c r="BU278" s="65"/>
      <c r="BV278" s="65"/>
      <c r="BW278" s="65"/>
      <c r="BX278" s="65"/>
      <c r="BY278" s="65"/>
      <c r="BZ278" s="65"/>
      <c r="CA278" s="65"/>
      <c r="CB278" s="65"/>
      <c r="CC278" s="65"/>
      <c r="CD278" s="65"/>
      <c r="CE278" s="65"/>
      <c r="CF278" s="65"/>
      <c r="CG278" s="65"/>
      <c r="CH278" s="65"/>
      <c r="CI278" s="65"/>
      <c r="CJ278" s="65"/>
      <c r="CK278" s="65"/>
      <c r="CL278" s="65"/>
      <c r="CM278" s="65"/>
      <c r="CN278" s="65"/>
      <c r="CO278" s="65"/>
      <c r="CP278" s="65"/>
      <c r="CQ278" s="65"/>
      <c r="CR278" s="65"/>
      <c r="CS278" s="65"/>
      <c r="CT278" s="65"/>
      <c r="CU278" s="65"/>
      <c r="CV278" s="65"/>
      <c r="CW278" s="65"/>
      <c r="CX278" s="65"/>
      <c r="CY278" s="65"/>
      <c r="CZ278" s="65"/>
      <c r="DA278" s="65"/>
      <c r="DB278" s="65"/>
      <c r="DC278" s="65"/>
      <c r="DD278" s="65"/>
      <c r="DE278" s="65"/>
      <c r="DF278" s="65"/>
      <c r="DG278" s="65"/>
      <c r="DH278" s="65"/>
      <c r="DI278" s="65"/>
      <c r="DJ278" s="65"/>
      <c r="DK278" s="65"/>
      <c r="DL278" s="65"/>
      <c r="DM278" s="65"/>
      <c r="DN278" s="65"/>
      <c r="DO278" s="65"/>
      <c r="DP278" s="65"/>
      <c r="DQ278" s="65"/>
      <c r="DR278" s="65"/>
      <c r="DS278" s="65"/>
      <c r="DT278" s="65"/>
      <c r="DU278" s="65"/>
      <c r="DV278" s="65"/>
      <c r="DW278" s="65"/>
      <c r="DX278" s="65"/>
      <c r="DY278" s="65"/>
      <c r="DZ278" s="65"/>
      <c r="EA278" s="65"/>
      <c r="EB278" s="65"/>
      <c r="EC278" s="65"/>
      <c r="ED278" s="65"/>
      <c r="EE278" s="65"/>
      <c r="EF278" s="65"/>
      <c r="EG278" s="65"/>
      <c r="EH278" s="65"/>
      <c r="EI278" s="65"/>
      <c r="EJ278" s="65"/>
      <c r="EK278" s="65"/>
      <c r="EL278" s="65"/>
      <c r="EM278" s="65"/>
      <c r="EN278" s="65"/>
      <c r="EO278" s="65"/>
      <c r="EP278" s="65"/>
      <c r="EQ278" s="65"/>
      <c r="ER278" s="65"/>
      <c r="ES278" s="65"/>
      <c r="ET278" s="65"/>
      <c r="EU278" s="65"/>
      <c r="EV278" s="65"/>
      <c r="EW278" s="65"/>
      <c r="EX278" s="65"/>
      <c r="EY278" s="65"/>
      <c r="EZ278" s="65"/>
      <c r="FA278" s="65"/>
      <c r="FB278" s="65"/>
      <c r="FC278" s="65"/>
      <c r="FD278" s="65"/>
      <c r="FE278" s="65"/>
      <c r="FF278" s="65"/>
      <c r="FG278" s="65"/>
      <c r="FH278" s="65"/>
      <c r="FI278" s="65"/>
      <c r="FJ278" s="65"/>
      <c r="FK278" s="65"/>
      <c r="FL278" s="65"/>
      <c r="FM278" s="65"/>
      <c r="FN278" s="65"/>
      <c r="FO278" s="65"/>
      <c r="FP278" s="65"/>
      <c r="FQ278" s="65"/>
      <c r="FR278" s="65"/>
      <c r="FS278" s="65"/>
      <c r="FT278" s="65"/>
      <c r="FU278" s="65"/>
    </row>
    <row r="279" spans="10:177" s="1" customFormat="1">
      <c r="J279" s="65"/>
      <c r="K279" s="65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65"/>
      <c r="X279" s="65"/>
      <c r="Y279" s="65"/>
      <c r="Z279" s="65"/>
      <c r="AA279" s="65"/>
      <c r="AB279" s="65"/>
      <c r="AC279" s="65"/>
      <c r="AD279" s="65"/>
      <c r="AE279" s="65"/>
      <c r="AF279" s="65"/>
      <c r="AG279" s="65"/>
      <c r="AH279" s="65"/>
      <c r="AI279" s="65"/>
      <c r="AJ279" s="65"/>
      <c r="AK279" s="65"/>
      <c r="AL279" s="65"/>
      <c r="AM279" s="65"/>
      <c r="AN279" s="65"/>
      <c r="AO279" s="65"/>
      <c r="AP279" s="65"/>
      <c r="AQ279" s="65"/>
      <c r="AR279" s="65"/>
      <c r="AS279" s="65"/>
      <c r="AT279" s="65"/>
      <c r="AU279" s="65"/>
      <c r="AV279" s="65"/>
      <c r="AW279" s="65"/>
      <c r="AX279" s="65"/>
      <c r="AY279" s="65"/>
      <c r="AZ279" s="65"/>
      <c r="BA279" s="65"/>
      <c r="BB279" s="65"/>
      <c r="BC279" s="65"/>
      <c r="BD279" s="65"/>
      <c r="BE279" s="65"/>
      <c r="BF279" s="65"/>
      <c r="BG279" s="65"/>
      <c r="BH279" s="65"/>
      <c r="BI279" s="65"/>
      <c r="BJ279" s="65"/>
      <c r="BK279" s="65"/>
      <c r="BL279" s="65"/>
      <c r="BM279" s="65"/>
      <c r="BN279" s="65"/>
      <c r="BO279" s="65"/>
      <c r="BP279" s="65"/>
      <c r="BQ279" s="65"/>
      <c r="BR279" s="65"/>
      <c r="BS279" s="65"/>
      <c r="BT279" s="65"/>
      <c r="BU279" s="65"/>
      <c r="BV279" s="65"/>
      <c r="BW279" s="65"/>
      <c r="BX279" s="65"/>
      <c r="BY279" s="65"/>
      <c r="BZ279" s="65"/>
      <c r="CA279" s="65"/>
      <c r="CB279" s="65"/>
      <c r="CC279" s="65"/>
      <c r="CD279" s="65"/>
      <c r="CE279" s="65"/>
      <c r="CF279" s="65"/>
      <c r="CG279" s="65"/>
      <c r="CH279" s="65"/>
      <c r="CI279" s="65"/>
      <c r="CJ279" s="65"/>
      <c r="CK279" s="65"/>
      <c r="CL279" s="65"/>
      <c r="CM279" s="65"/>
      <c r="CN279" s="65"/>
      <c r="CO279" s="65"/>
      <c r="CP279" s="65"/>
      <c r="CQ279" s="65"/>
      <c r="CR279" s="65"/>
      <c r="CS279" s="65"/>
      <c r="CT279" s="65"/>
      <c r="CU279" s="65"/>
      <c r="CV279" s="65"/>
      <c r="CW279" s="65"/>
      <c r="CX279" s="65"/>
      <c r="CY279" s="65"/>
      <c r="CZ279" s="65"/>
      <c r="DA279" s="65"/>
      <c r="DB279" s="65"/>
      <c r="DC279" s="65"/>
      <c r="DD279" s="65"/>
      <c r="DE279" s="65"/>
      <c r="DF279" s="65"/>
      <c r="DG279" s="65"/>
      <c r="DH279" s="65"/>
      <c r="DI279" s="65"/>
      <c r="DJ279" s="65"/>
      <c r="DK279" s="65"/>
      <c r="DL279" s="65"/>
      <c r="DM279" s="65"/>
      <c r="DN279" s="65"/>
      <c r="DO279" s="65"/>
      <c r="DP279" s="65"/>
      <c r="DQ279" s="65"/>
      <c r="DR279" s="65"/>
      <c r="DS279" s="65"/>
      <c r="DT279" s="65"/>
      <c r="DU279" s="65"/>
      <c r="DV279" s="65"/>
      <c r="DW279" s="65"/>
      <c r="DX279" s="65"/>
      <c r="DY279" s="65"/>
      <c r="DZ279" s="65"/>
      <c r="EA279" s="65"/>
      <c r="EB279" s="65"/>
      <c r="EC279" s="65"/>
      <c r="ED279" s="65"/>
      <c r="EE279" s="65"/>
      <c r="EF279" s="65"/>
      <c r="EG279" s="65"/>
      <c r="EH279" s="65"/>
      <c r="EI279" s="65"/>
      <c r="EJ279" s="65"/>
      <c r="EK279" s="65"/>
      <c r="EL279" s="65"/>
      <c r="EM279" s="65"/>
      <c r="EN279" s="65"/>
      <c r="EO279" s="65"/>
      <c r="EP279" s="65"/>
      <c r="EQ279" s="65"/>
      <c r="ER279" s="65"/>
      <c r="ES279" s="65"/>
      <c r="ET279" s="65"/>
      <c r="EU279" s="65"/>
      <c r="EV279" s="65"/>
      <c r="EW279" s="65"/>
      <c r="EX279" s="65"/>
      <c r="EY279" s="65"/>
      <c r="EZ279" s="65"/>
      <c r="FA279" s="65"/>
      <c r="FB279" s="65"/>
      <c r="FC279" s="65"/>
      <c r="FD279" s="65"/>
      <c r="FE279" s="65"/>
      <c r="FF279" s="65"/>
      <c r="FG279" s="65"/>
      <c r="FH279" s="65"/>
      <c r="FI279" s="65"/>
      <c r="FJ279" s="65"/>
      <c r="FK279" s="65"/>
      <c r="FL279" s="65"/>
      <c r="FM279" s="65"/>
      <c r="FN279" s="65"/>
      <c r="FO279" s="65"/>
      <c r="FP279" s="65"/>
      <c r="FQ279" s="65"/>
      <c r="FR279" s="65"/>
      <c r="FS279" s="65"/>
      <c r="FT279" s="65"/>
      <c r="FU279" s="65"/>
    </row>
    <row r="280" spans="10:177" s="1" customFormat="1">
      <c r="J280" s="65"/>
      <c r="K280" s="65"/>
      <c r="L280" s="65"/>
      <c r="M280" s="65"/>
      <c r="N280" s="65"/>
      <c r="O280" s="65"/>
      <c r="P280" s="65"/>
      <c r="Q280" s="65"/>
      <c r="R280" s="65"/>
      <c r="S280" s="65"/>
      <c r="T280" s="65"/>
      <c r="U280" s="65"/>
      <c r="V280" s="65"/>
      <c r="W280" s="65"/>
      <c r="X280" s="65"/>
      <c r="Y280" s="65"/>
      <c r="Z280" s="65"/>
      <c r="AA280" s="65"/>
      <c r="AB280" s="65"/>
      <c r="AC280" s="65"/>
      <c r="AD280" s="65"/>
      <c r="AE280" s="65"/>
      <c r="AF280" s="65"/>
      <c r="AG280" s="65"/>
      <c r="AH280" s="65"/>
      <c r="AI280" s="65"/>
      <c r="AJ280" s="65"/>
      <c r="AK280" s="65"/>
      <c r="AL280" s="65"/>
      <c r="AM280" s="65"/>
      <c r="AN280" s="65"/>
      <c r="AO280" s="65"/>
      <c r="AP280" s="65"/>
      <c r="AQ280" s="65"/>
      <c r="AR280" s="65"/>
      <c r="AS280" s="65"/>
      <c r="AT280" s="65"/>
      <c r="AU280" s="65"/>
      <c r="AV280" s="65"/>
      <c r="AW280" s="65"/>
      <c r="AX280" s="65"/>
      <c r="AY280" s="65"/>
      <c r="AZ280" s="65"/>
      <c r="BA280" s="65"/>
      <c r="BB280" s="65"/>
      <c r="BC280" s="65"/>
      <c r="BD280" s="65"/>
      <c r="BE280" s="65"/>
      <c r="BF280" s="65"/>
      <c r="BG280" s="65"/>
      <c r="BH280" s="65"/>
      <c r="BI280" s="65"/>
      <c r="BJ280" s="65"/>
      <c r="BK280" s="65"/>
      <c r="BL280" s="65"/>
      <c r="BM280" s="65"/>
      <c r="BN280" s="65"/>
      <c r="BO280" s="65"/>
      <c r="BP280" s="65"/>
      <c r="BQ280" s="65"/>
      <c r="BR280" s="65"/>
      <c r="BS280" s="65"/>
      <c r="BT280" s="65"/>
      <c r="BU280" s="65"/>
      <c r="BV280" s="65"/>
      <c r="BW280" s="65"/>
      <c r="BX280" s="65"/>
      <c r="BY280" s="65"/>
      <c r="BZ280" s="65"/>
      <c r="CA280" s="65"/>
      <c r="CB280" s="65"/>
      <c r="CC280" s="65"/>
      <c r="CD280" s="65"/>
      <c r="CE280" s="65"/>
      <c r="CF280" s="65"/>
      <c r="CG280" s="65"/>
      <c r="CH280" s="65"/>
      <c r="CI280" s="65"/>
      <c r="CJ280" s="65"/>
      <c r="CK280" s="65"/>
      <c r="CL280" s="65"/>
      <c r="CM280" s="65"/>
      <c r="CN280" s="65"/>
      <c r="CO280" s="65"/>
      <c r="CP280" s="65"/>
      <c r="CQ280" s="65"/>
      <c r="CR280" s="65"/>
      <c r="CS280" s="65"/>
      <c r="CT280" s="65"/>
      <c r="CU280" s="65"/>
      <c r="CV280" s="65"/>
      <c r="CW280" s="65"/>
      <c r="CX280" s="65"/>
      <c r="CY280" s="65"/>
      <c r="CZ280" s="65"/>
      <c r="DA280" s="65"/>
      <c r="DB280" s="65"/>
      <c r="DC280" s="65"/>
      <c r="DD280" s="65"/>
      <c r="DE280" s="65"/>
      <c r="DF280" s="65"/>
      <c r="DG280" s="65"/>
      <c r="DH280" s="65"/>
      <c r="DI280" s="65"/>
      <c r="DJ280" s="65"/>
      <c r="DK280" s="65"/>
      <c r="DL280" s="65"/>
      <c r="DM280" s="65"/>
      <c r="DN280" s="65"/>
      <c r="DO280" s="65"/>
      <c r="DP280" s="65"/>
      <c r="DQ280" s="65"/>
      <c r="DR280" s="65"/>
      <c r="DS280" s="65"/>
      <c r="DT280" s="65"/>
      <c r="DU280" s="65"/>
      <c r="DV280" s="65"/>
      <c r="DW280" s="65"/>
      <c r="DX280" s="65"/>
      <c r="DY280" s="65"/>
      <c r="DZ280" s="65"/>
      <c r="EA280" s="65"/>
      <c r="EB280" s="65"/>
      <c r="EC280" s="65"/>
      <c r="ED280" s="65"/>
      <c r="EE280" s="65"/>
      <c r="EF280" s="65"/>
      <c r="EG280" s="65"/>
      <c r="EH280" s="65"/>
      <c r="EI280" s="65"/>
      <c r="EJ280" s="65"/>
      <c r="EK280" s="65"/>
      <c r="EL280" s="65"/>
      <c r="EM280" s="65"/>
      <c r="EN280" s="65"/>
      <c r="EO280" s="65"/>
      <c r="EP280" s="65"/>
      <c r="EQ280" s="65"/>
      <c r="ER280" s="65"/>
      <c r="ES280" s="65"/>
      <c r="ET280" s="65"/>
      <c r="EU280" s="65"/>
      <c r="EV280" s="65"/>
      <c r="EW280" s="65"/>
      <c r="EX280" s="65"/>
      <c r="EY280" s="65"/>
      <c r="EZ280" s="65"/>
      <c r="FA280" s="65"/>
      <c r="FB280" s="65"/>
      <c r="FC280" s="65"/>
      <c r="FD280" s="65"/>
      <c r="FE280" s="65"/>
      <c r="FF280" s="65"/>
      <c r="FG280" s="65"/>
      <c r="FH280" s="65"/>
      <c r="FI280" s="65"/>
      <c r="FJ280" s="65"/>
      <c r="FK280" s="65"/>
      <c r="FL280" s="65"/>
      <c r="FM280" s="65"/>
      <c r="FN280" s="65"/>
      <c r="FO280" s="65"/>
      <c r="FP280" s="65"/>
      <c r="FQ280" s="65"/>
      <c r="FR280" s="65"/>
      <c r="FS280" s="65"/>
      <c r="FT280" s="65"/>
      <c r="FU280" s="65"/>
    </row>
    <row r="281" spans="10:177" s="1" customFormat="1">
      <c r="J281" s="65"/>
      <c r="K281" s="65"/>
      <c r="L281" s="65"/>
      <c r="M281" s="65"/>
      <c r="N281" s="65"/>
      <c r="O281" s="65"/>
      <c r="P281" s="65"/>
      <c r="Q281" s="65"/>
      <c r="R281" s="65"/>
      <c r="S281" s="65"/>
      <c r="T281" s="65"/>
      <c r="U281" s="65"/>
      <c r="V281" s="65"/>
      <c r="W281" s="65"/>
      <c r="X281" s="65"/>
      <c r="Y281" s="65"/>
      <c r="Z281" s="65"/>
      <c r="AA281" s="65"/>
      <c r="AB281" s="65"/>
      <c r="AC281" s="65"/>
      <c r="AD281" s="65"/>
      <c r="AE281" s="65"/>
      <c r="AF281" s="65"/>
      <c r="AG281" s="65"/>
      <c r="AH281" s="65"/>
      <c r="AI281" s="65"/>
      <c r="AJ281" s="65"/>
      <c r="AK281" s="65"/>
      <c r="AL281" s="65"/>
      <c r="AM281" s="65"/>
      <c r="AN281" s="65"/>
      <c r="AO281" s="65"/>
      <c r="AP281" s="65"/>
      <c r="AQ281" s="65"/>
      <c r="AR281" s="65"/>
      <c r="AS281" s="65"/>
      <c r="AT281" s="65"/>
      <c r="AU281" s="65"/>
      <c r="AV281" s="65"/>
      <c r="AW281" s="65"/>
      <c r="AX281" s="65"/>
      <c r="AY281" s="65"/>
      <c r="AZ281" s="65"/>
      <c r="BA281" s="65"/>
      <c r="BB281" s="65"/>
      <c r="BC281" s="65"/>
      <c r="BD281" s="65"/>
      <c r="BE281" s="65"/>
      <c r="BF281" s="65"/>
      <c r="BG281" s="65"/>
      <c r="BH281" s="65"/>
      <c r="BI281" s="65"/>
      <c r="BJ281" s="65"/>
      <c r="BK281" s="65"/>
      <c r="BL281" s="65"/>
      <c r="BM281" s="65"/>
      <c r="BN281" s="65"/>
      <c r="BO281" s="65"/>
      <c r="BP281" s="65"/>
      <c r="BQ281" s="65"/>
      <c r="BR281" s="65"/>
      <c r="BS281" s="65"/>
      <c r="BT281" s="65"/>
      <c r="BU281" s="65"/>
      <c r="BV281" s="65"/>
      <c r="BW281" s="65"/>
      <c r="BX281" s="65"/>
      <c r="BY281" s="65"/>
      <c r="BZ281" s="65"/>
      <c r="CA281" s="65"/>
      <c r="CB281" s="65"/>
      <c r="CC281" s="65"/>
      <c r="CD281" s="65"/>
      <c r="CE281" s="65"/>
      <c r="CF281" s="65"/>
      <c r="CG281" s="65"/>
      <c r="CH281" s="65"/>
      <c r="CI281" s="65"/>
      <c r="CJ281" s="65"/>
      <c r="CK281" s="65"/>
      <c r="CL281" s="65"/>
      <c r="CM281" s="65"/>
      <c r="CN281" s="65"/>
      <c r="CO281" s="65"/>
      <c r="CP281" s="65"/>
      <c r="CQ281" s="65"/>
      <c r="CR281" s="65"/>
      <c r="CS281" s="65"/>
      <c r="CT281" s="65"/>
      <c r="CU281" s="65"/>
      <c r="CV281" s="65"/>
      <c r="CW281" s="65"/>
      <c r="CX281" s="65"/>
      <c r="CY281" s="65"/>
      <c r="CZ281" s="65"/>
      <c r="DA281" s="65"/>
      <c r="DB281" s="65"/>
      <c r="DC281" s="65"/>
      <c r="DD281" s="65"/>
      <c r="DE281" s="65"/>
      <c r="DF281" s="65"/>
      <c r="DG281" s="65"/>
      <c r="DH281" s="65"/>
      <c r="DI281" s="65"/>
      <c r="DJ281" s="65"/>
      <c r="DK281" s="65"/>
      <c r="DL281" s="65"/>
      <c r="DM281" s="65"/>
      <c r="DN281" s="65"/>
      <c r="DO281" s="65"/>
      <c r="DP281" s="65"/>
      <c r="DQ281" s="65"/>
      <c r="DR281" s="65"/>
      <c r="DS281" s="65"/>
      <c r="DT281" s="65"/>
      <c r="DU281" s="65"/>
      <c r="DV281" s="65"/>
      <c r="DW281" s="65"/>
      <c r="DX281" s="65"/>
      <c r="DY281" s="65"/>
      <c r="DZ281" s="65"/>
      <c r="EA281" s="65"/>
      <c r="EB281" s="65"/>
      <c r="EC281" s="65"/>
      <c r="ED281" s="65"/>
      <c r="EE281" s="65"/>
      <c r="EF281" s="65"/>
      <c r="EG281" s="65"/>
      <c r="EH281" s="65"/>
      <c r="EI281" s="65"/>
      <c r="EJ281" s="65"/>
      <c r="EK281" s="65"/>
      <c r="EL281" s="65"/>
      <c r="EM281" s="65"/>
      <c r="EN281" s="65"/>
      <c r="EO281" s="65"/>
      <c r="EP281" s="65"/>
      <c r="EQ281" s="65"/>
      <c r="ER281" s="65"/>
      <c r="ES281" s="65"/>
      <c r="ET281" s="65"/>
      <c r="EU281" s="65"/>
      <c r="EV281" s="65"/>
      <c r="EW281" s="65"/>
      <c r="EX281" s="65"/>
      <c r="EY281" s="65"/>
      <c r="EZ281" s="65"/>
      <c r="FA281" s="65"/>
      <c r="FB281" s="65"/>
      <c r="FC281" s="65"/>
      <c r="FD281" s="65"/>
      <c r="FE281" s="65"/>
      <c r="FF281" s="65"/>
      <c r="FG281" s="65"/>
      <c r="FH281" s="65"/>
      <c r="FI281" s="65"/>
      <c r="FJ281" s="65"/>
      <c r="FK281" s="65"/>
      <c r="FL281" s="65"/>
      <c r="FM281" s="65"/>
      <c r="FN281" s="65"/>
      <c r="FO281" s="65"/>
      <c r="FP281" s="65"/>
      <c r="FQ281" s="65"/>
      <c r="FR281" s="65"/>
      <c r="FS281" s="65"/>
      <c r="FT281" s="65"/>
      <c r="FU281" s="65"/>
    </row>
    <row r="282" spans="10:177" s="1" customFormat="1">
      <c r="J282" s="65"/>
      <c r="K282" s="65"/>
      <c r="L282" s="65"/>
      <c r="M282" s="65"/>
      <c r="N282" s="65"/>
      <c r="O282" s="65"/>
      <c r="P282" s="65"/>
      <c r="Q282" s="65"/>
      <c r="R282" s="65"/>
      <c r="S282" s="65"/>
      <c r="T282" s="65"/>
      <c r="U282" s="65"/>
      <c r="V282" s="65"/>
      <c r="W282" s="65"/>
      <c r="X282" s="65"/>
      <c r="Y282" s="65"/>
      <c r="Z282" s="65"/>
      <c r="AA282" s="65"/>
      <c r="AB282" s="65"/>
      <c r="AC282" s="65"/>
      <c r="AD282" s="65"/>
      <c r="AE282" s="65"/>
      <c r="AF282" s="65"/>
      <c r="AG282" s="65"/>
      <c r="AH282" s="65"/>
      <c r="AI282" s="65"/>
      <c r="AJ282" s="65"/>
      <c r="AK282" s="65"/>
      <c r="AL282" s="65"/>
      <c r="AM282" s="65"/>
      <c r="AN282" s="65"/>
      <c r="AO282" s="65"/>
      <c r="AP282" s="65"/>
      <c r="AQ282" s="65"/>
      <c r="AR282" s="65"/>
      <c r="AS282" s="65"/>
      <c r="AT282" s="65"/>
      <c r="AU282" s="65"/>
      <c r="AV282" s="65"/>
      <c r="AW282" s="65"/>
      <c r="AX282" s="65"/>
      <c r="AY282" s="65"/>
      <c r="AZ282" s="65"/>
      <c r="BA282" s="65"/>
      <c r="BB282" s="65"/>
      <c r="BC282" s="65"/>
      <c r="BD282" s="65"/>
      <c r="BE282" s="65"/>
      <c r="BF282" s="65"/>
      <c r="BG282" s="65"/>
      <c r="BH282" s="65"/>
      <c r="BI282" s="65"/>
      <c r="BJ282" s="65"/>
      <c r="BK282" s="65"/>
      <c r="BL282" s="65"/>
      <c r="BM282" s="65"/>
      <c r="BN282" s="65"/>
      <c r="BO282" s="65"/>
      <c r="BP282" s="65"/>
      <c r="BQ282" s="65"/>
      <c r="BR282" s="65"/>
      <c r="BS282" s="65"/>
      <c r="BT282" s="65"/>
      <c r="BU282" s="65"/>
      <c r="BV282" s="65"/>
      <c r="BW282" s="65"/>
      <c r="BX282" s="65"/>
      <c r="BY282" s="65"/>
      <c r="BZ282" s="65"/>
      <c r="CA282" s="65"/>
      <c r="CB282" s="65"/>
      <c r="CC282" s="65"/>
      <c r="CD282" s="65"/>
      <c r="CE282" s="65"/>
      <c r="CF282" s="65"/>
      <c r="CG282" s="65"/>
      <c r="CH282" s="65"/>
      <c r="CI282" s="65"/>
      <c r="CJ282" s="65"/>
      <c r="CK282" s="65"/>
      <c r="CL282" s="65"/>
      <c r="CM282" s="65"/>
      <c r="CN282" s="65"/>
      <c r="CO282" s="65"/>
      <c r="CP282" s="65"/>
      <c r="CQ282" s="65"/>
      <c r="CR282" s="65"/>
      <c r="CS282" s="65"/>
      <c r="CT282" s="65"/>
      <c r="CU282" s="65"/>
      <c r="CV282" s="65"/>
      <c r="CW282" s="65"/>
      <c r="CX282" s="65"/>
      <c r="CY282" s="65"/>
      <c r="CZ282" s="65"/>
      <c r="DA282" s="65"/>
      <c r="DB282" s="65"/>
      <c r="DC282" s="65"/>
      <c r="DD282" s="65"/>
      <c r="DE282" s="65"/>
      <c r="DF282" s="65"/>
      <c r="DG282" s="65"/>
      <c r="DH282" s="65"/>
      <c r="DI282" s="65"/>
      <c r="DJ282" s="65"/>
      <c r="DK282" s="65"/>
      <c r="DL282" s="65"/>
      <c r="DM282" s="65"/>
      <c r="DN282" s="65"/>
      <c r="DO282" s="65"/>
      <c r="DP282" s="65"/>
      <c r="DQ282" s="65"/>
      <c r="DR282" s="65"/>
      <c r="DS282" s="65"/>
      <c r="DT282" s="65"/>
      <c r="DU282" s="65"/>
      <c r="DV282" s="65"/>
      <c r="DW282" s="65"/>
      <c r="DX282" s="65"/>
      <c r="DY282" s="65"/>
      <c r="DZ282" s="65"/>
      <c r="EA282" s="65"/>
      <c r="EB282" s="65"/>
      <c r="EC282" s="65"/>
      <c r="ED282" s="65"/>
      <c r="EE282" s="65"/>
      <c r="EF282" s="65"/>
      <c r="EG282" s="65"/>
      <c r="EH282" s="65"/>
      <c r="EI282" s="65"/>
      <c r="EJ282" s="65"/>
      <c r="EK282" s="65"/>
      <c r="EL282" s="65"/>
      <c r="EM282" s="65"/>
      <c r="EN282" s="65"/>
      <c r="EO282" s="65"/>
      <c r="EP282" s="65"/>
      <c r="EQ282" s="65"/>
      <c r="ER282" s="65"/>
      <c r="ES282" s="65"/>
      <c r="ET282" s="65"/>
      <c r="EU282" s="65"/>
      <c r="EV282" s="65"/>
      <c r="EW282" s="65"/>
      <c r="EX282" s="65"/>
      <c r="EY282" s="65"/>
      <c r="EZ282" s="65"/>
      <c r="FA282" s="65"/>
      <c r="FB282" s="65"/>
      <c r="FC282" s="65"/>
      <c r="FD282" s="65"/>
      <c r="FE282" s="65"/>
      <c r="FF282" s="65"/>
      <c r="FG282" s="65"/>
      <c r="FH282" s="65"/>
      <c r="FI282" s="65"/>
      <c r="FJ282" s="65"/>
      <c r="FK282" s="65"/>
      <c r="FL282" s="65"/>
      <c r="FM282" s="65"/>
      <c r="FN282" s="65"/>
      <c r="FO282" s="65"/>
      <c r="FP282" s="65"/>
      <c r="FQ282" s="65"/>
      <c r="FR282" s="65"/>
      <c r="FS282" s="65"/>
      <c r="FT282" s="65"/>
      <c r="FU282" s="65"/>
    </row>
    <row r="283" spans="10:177" s="1" customFormat="1">
      <c r="J283" s="65"/>
      <c r="K283" s="65"/>
      <c r="L283" s="65"/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65"/>
      <c r="X283" s="65"/>
      <c r="Y283" s="65"/>
      <c r="Z283" s="65"/>
      <c r="AA283" s="65"/>
      <c r="AB283" s="65"/>
      <c r="AC283" s="65"/>
      <c r="AD283" s="65"/>
      <c r="AE283" s="65"/>
      <c r="AF283" s="65"/>
      <c r="AG283" s="65"/>
      <c r="AH283" s="65"/>
      <c r="AI283" s="65"/>
      <c r="AJ283" s="65"/>
      <c r="AK283" s="65"/>
      <c r="AL283" s="65"/>
      <c r="AM283" s="65"/>
      <c r="AN283" s="65"/>
      <c r="AO283" s="65"/>
      <c r="AP283" s="65"/>
      <c r="AQ283" s="65"/>
      <c r="AR283" s="65"/>
      <c r="AS283" s="65"/>
      <c r="AT283" s="65"/>
      <c r="AU283" s="65"/>
      <c r="AV283" s="65"/>
      <c r="AW283" s="65"/>
      <c r="AX283" s="65"/>
      <c r="AY283" s="65"/>
      <c r="AZ283" s="65"/>
      <c r="BA283" s="65"/>
      <c r="BB283" s="65"/>
      <c r="BC283" s="65"/>
      <c r="BD283" s="65"/>
      <c r="BE283" s="65"/>
      <c r="BF283" s="65"/>
      <c r="BG283" s="65"/>
      <c r="BH283" s="65"/>
      <c r="BI283" s="65"/>
      <c r="BJ283" s="65"/>
      <c r="BK283" s="65"/>
      <c r="BL283" s="65"/>
      <c r="BM283" s="65"/>
      <c r="BN283" s="65"/>
      <c r="BO283" s="65"/>
      <c r="BP283" s="65"/>
      <c r="BQ283" s="65"/>
      <c r="BR283" s="65"/>
      <c r="BS283" s="65"/>
      <c r="BT283" s="65"/>
      <c r="BU283" s="65"/>
      <c r="BV283" s="65"/>
      <c r="BW283" s="65"/>
      <c r="BX283" s="65"/>
      <c r="BY283" s="65"/>
      <c r="BZ283" s="65"/>
      <c r="CA283" s="65"/>
      <c r="CB283" s="65"/>
      <c r="CC283" s="65"/>
      <c r="CD283" s="65"/>
      <c r="CE283" s="65"/>
      <c r="CF283" s="65"/>
      <c r="CG283" s="65"/>
      <c r="CH283" s="65"/>
      <c r="CI283" s="65"/>
      <c r="CJ283" s="65"/>
      <c r="CK283" s="65"/>
      <c r="CL283" s="65"/>
      <c r="CM283" s="65"/>
      <c r="CN283" s="65"/>
      <c r="CO283" s="65"/>
      <c r="CP283" s="65"/>
      <c r="CQ283" s="65"/>
      <c r="CR283" s="65"/>
      <c r="CS283" s="65"/>
      <c r="CT283" s="65"/>
      <c r="CU283" s="65"/>
      <c r="CV283" s="65"/>
      <c r="CW283" s="65"/>
      <c r="CX283" s="65"/>
      <c r="CY283" s="65"/>
      <c r="CZ283" s="65"/>
      <c r="DA283" s="65"/>
      <c r="DB283" s="65"/>
      <c r="DC283" s="65"/>
      <c r="DD283" s="65"/>
      <c r="DE283" s="65"/>
      <c r="DF283" s="65"/>
      <c r="DG283" s="65"/>
      <c r="DH283" s="65"/>
      <c r="DI283" s="65"/>
      <c r="DJ283" s="65"/>
      <c r="DK283" s="65"/>
      <c r="DL283" s="65"/>
      <c r="DM283" s="65"/>
      <c r="DN283" s="65"/>
      <c r="DO283" s="65"/>
      <c r="DP283" s="65"/>
      <c r="DQ283" s="65"/>
      <c r="DR283" s="65"/>
      <c r="DS283" s="65"/>
      <c r="DT283" s="65"/>
      <c r="DU283" s="65"/>
      <c r="DV283" s="65"/>
      <c r="DW283" s="65"/>
      <c r="DX283" s="65"/>
      <c r="DY283" s="65"/>
      <c r="DZ283" s="65"/>
      <c r="EA283" s="65"/>
      <c r="EB283" s="65"/>
      <c r="EC283" s="65"/>
      <c r="ED283" s="65"/>
      <c r="EE283" s="65"/>
      <c r="EF283" s="65"/>
      <c r="EG283" s="65"/>
      <c r="EH283" s="65"/>
      <c r="EI283" s="65"/>
      <c r="EJ283" s="65"/>
      <c r="EK283" s="65"/>
      <c r="EL283" s="65"/>
      <c r="EM283" s="65"/>
      <c r="EN283" s="65"/>
      <c r="EO283" s="65"/>
      <c r="EP283" s="65"/>
      <c r="EQ283" s="65"/>
      <c r="ER283" s="65"/>
      <c r="ES283" s="65"/>
      <c r="ET283" s="65"/>
      <c r="EU283" s="65"/>
      <c r="EV283" s="65"/>
      <c r="EW283" s="65"/>
      <c r="EX283" s="65"/>
      <c r="EY283" s="65"/>
      <c r="EZ283" s="65"/>
      <c r="FA283" s="65"/>
      <c r="FB283" s="65"/>
      <c r="FC283" s="65"/>
      <c r="FD283" s="65"/>
      <c r="FE283" s="65"/>
      <c r="FF283" s="65"/>
      <c r="FG283" s="65"/>
      <c r="FH283" s="65"/>
      <c r="FI283" s="65"/>
      <c r="FJ283" s="65"/>
      <c r="FK283" s="65"/>
      <c r="FL283" s="65"/>
      <c r="FM283" s="65"/>
      <c r="FN283" s="65"/>
      <c r="FO283" s="65"/>
      <c r="FP283" s="65"/>
      <c r="FQ283" s="65"/>
      <c r="FR283" s="65"/>
      <c r="FS283" s="65"/>
      <c r="FT283" s="65"/>
      <c r="FU283" s="65"/>
    </row>
    <row r="284" spans="10:177" s="1" customFormat="1"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  <c r="Y284" s="65"/>
      <c r="Z284" s="65"/>
      <c r="AA284" s="65"/>
      <c r="AB284" s="65"/>
      <c r="AC284" s="65"/>
      <c r="AD284" s="65"/>
      <c r="AE284" s="65"/>
      <c r="AF284" s="65"/>
      <c r="AG284" s="65"/>
      <c r="AH284" s="65"/>
      <c r="AI284" s="65"/>
      <c r="AJ284" s="65"/>
      <c r="AK284" s="65"/>
      <c r="AL284" s="65"/>
      <c r="AM284" s="65"/>
      <c r="AN284" s="65"/>
      <c r="AO284" s="65"/>
      <c r="AP284" s="65"/>
      <c r="AQ284" s="65"/>
      <c r="AR284" s="65"/>
      <c r="AS284" s="65"/>
      <c r="AT284" s="65"/>
      <c r="AU284" s="65"/>
      <c r="AV284" s="65"/>
      <c r="AW284" s="65"/>
      <c r="AX284" s="65"/>
      <c r="AY284" s="65"/>
      <c r="AZ284" s="65"/>
      <c r="BA284" s="65"/>
      <c r="BB284" s="65"/>
      <c r="BC284" s="65"/>
      <c r="BD284" s="65"/>
      <c r="BE284" s="65"/>
      <c r="BF284" s="65"/>
      <c r="BG284" s="65"/>
      <c r="BH284" s="65"/>
      <c r="BI284" s="65"/>
      <c r="BJ284" s="65"/>
      <c r="BK284" s="65"/>
      <c r="BL284" s="65"/>
      <c r="BM284" s="65"/>
      <c r="BN284" s="65"/>
      <c r="BO284" s="65"/>
      <c r="BP284" s="65"/>
      <c r="BQ284" s="65"/>
      <c r="BR284" s="65"/>
      <c r="BS284" s="65"/>
      <c r="BT284" s="65"/>
      <c r="BU284" s="65"/>
      <c r="BV284" s="65"/>
      <c r="BW284" s="65"/>
      <c r="BX284" s="65"/>
      <c r="BY284" s="65"/>
      <c r="BZ284" s="65"/>
      <c r="CA284" s="65"/>
      <c r="CB284" s="65"/>
      <c r="CC284" s="65"/>
      <c r="CD284" s="65"/>
      <c r="CE284" s="65"/>
      <c r="CF284" s="65"/>
      <c r="CG284" s="65"/>
      <c r="CH284" s="65"/>
      <c r="CI284" s="65"/>
      <c r="CJ284" s="65"/>
      <c r="CK284" s="65"/>
      <c r="CL284" s="65"/>
      <c r="CM284" s="65"/>
      <c r="CN284" s="65"/>
      <c r="CO284" s="65"/>
      <c r="CP284" s="65"/>
      <c r="CQ284" s="65"/>
      <c r="CR284" s="65"/>
      <c r="CS284" s="65"/>
      <c r="CT284" s="65"/>
      <c r="CU284" s="65"/>
      <c r="CV284" s="65"/>
      <c r="CW284" s="65"/>
      <c r="CX284" s="65"/>
      <c r="CY284" s="65"/>
      <c r="CZ284" s="65"/>
      <c r="DA284" s="65"/>
      <c r="DB284" s="65"/>
      <c r="DC284" s="65"/>
      <c r="DD284" s="65"/>
      <c r="DE284" s="65"/>
      <c r="DF284" s="65"/>
      <c r="DG284" s="65"/>
      <c r="DH284" s="65"/>
      <c r="DI284" s="65"/>
      <c r="DJ284" s="65"/>
      <c r="DK284" s="65"/>
      <c r="DL284" s="65"/>
      <c r="DM284" s="65"/>
      <c r="DN284" s="65"/>
      <c r="DO284" s="65"/>
      <c r="DP284" s="65"/>
      <c r="DQ284" s="65"/>
      <c r="DR284" s="65"/>
      <c r="DS284" s="65"/>
      <c r="DT284" s="65"/>
      <c r="DU284" s="65"/>
      <c r="DV284" s="65"/>
      <c r="DW284" s="65"/>
      <c r="DX284" s="65"/>
      <c r="DY284" s="65"/>
      <c r="DZ284" s="65"/>
      <c r="EA284" s="65"/>
      <c r="EB284" s="65"/>
      <c r="EC284" s="65"/>
      <c r="ED284" s="65"/>
      <c r="EE284" s="65"/>
      <c r="EF284" s="65"/>
      <c r="EG284" s="65"/>
      <c r="EH284" s="65"/>
      <c r="EI284" s="65"/>
      <c r="EJ284" s="65"/>
      <c r="EK284" s="65"/>
      <c r="EL284" s="65"/>
      <c r="EM284" s="65"/>
      <c r="EN284" s="65"/>
      <c r="EO284" s="65"/>
      <c r="EP284" s="65"/>
      <c r="EQ284" s="65"/>
      <c r="ER284" s="65"/>
      <c r="ES284" s="65"/>
      <c r="ET284" s="65"/>
      <c r="EU284" s="65"/>
      <c r="EV284" s="65"/>
      <c r="EW284" s="65"/>
      <c r="EX284" s="65"/>
      <c r="EY284" s="65"/>
      <c r="EZ284" s="65"/>
      <c r="FA284" s="65"/>
      <c r="FB284" s="65"/>
      <c r="FC284" s="65"/>
      <c r="FD284" s="65"/>
      <c r="FE284" s="65"/>
      <c r="FF284" s="65"/>
      <c r="FG284" s="65"/>
      <c r="FH284" s="65"/>
      <c r="FI284" s="65"/>
      <c r="FJ284" s="65"/>
      <c r="FK284" s="65"/>
      <c r="FL284" s="65"/>
      <c r="FM284" s="65"/>
      <c r="FN284" s="65"/>
      <c r="FO284" s="65"/>
      <c r="FP284" s="65"/>
      <c r="FQ284" s="65"/>
      <c r="FR284" s="65"/>
      <c r="FS284" s="65"/>
      <c r="FT284" s="65"/>
      <c r="FU284" s="65"/>
    </row>
    <row r="285" spans="10:177" s="1" customFormat="1">
      <c r="J285" s="65"/>
      <c r="K285" s="65"/>
      <c r="L285" s="65"/>
      <c r="M285" s="65"/>
      <c r="N285" s="65"/>
      <c r="O285" s="65"/>
      <c r="P285" s="65"/>
      <c r="Q285" s="65"/>
      <c r="R285" s="65"/>
      <c r="S285" s="65"/>
      <c r="T285" s="65"/>
      <c r="U285" s="65"/>
      <c r="V285" s="65"/>
      <c r="W285" s="65"/>
      <c r="X285" s="65"/>
      <c r="Y285" s="65"/>
      <c r="Z285" s="65"/>
      <c r="AA285" s="65"/>
      <c r="AB285" s="65"/>
      <c r="AC285" s="65"/>
      <c r="AD285" s="65"/>
      <c r="AE285" s="65"/>
      <c r="AF285" s="65"/>
      <c r="AG285" s="65"/>
      <c r="AH285" s="65"/>
      <c r="AI285" s="65"/>
      <c r="AJ285" s="65"/>
      <c r="AK285" s="65"/>
      <c r="AL285" s="65"/>
      <c r="AM285" s="65"/>
      <c r="AN285" s="65"/>
      <c r="AO285" s="65"/>
      <c r="AP285" s="65"/>
      <c r="AQ285" s="65"/>
      <c r="AR285" s="65"/>
      <c r="AS285" s="65"/>
      <c r="AT285" s="65"/>
      <c r="AU285" s="65"/>
      <c r="AV285" s="65"/>
      <c r="AW285" s="65"/>
      <c r="AX285" s="65"/>
      <c r="AY285" s="65"/>
      <c r="AZ285" s="65"/>
      <c r="BA285" s="65"/>
      <c r="BB285" s="65"/>
      <c r="BC285" s="65"/>
      <c r="BD285" s="65"/>
      <c r="BE285" s="65"/>
      <c r="BF285" s="65"/>
      <c r="BG285" s="65"/>
      <c r="BH285" s="65"/>
      <c r="BI285" s="65"/>
      <c r="BJ285" s="65"/>
      <c r="BK285" s="65"/>
      <c r="BL285" s="65"/>
      <c r="BM285" s="65"/>
      <c r="BN285" s="65"/>
      <c r="BO285" s="65"/>
      <c r="BP285" s="65"/>
      <c r="BQ285" s="65"/>
      <c r="BR285" s="65"/>
      <c r="BS285" s="65"/>
      <c r="BT285" s="65"/>
      <c r="BU285" s="65"/>
      <c r="BV285" s="65"/>
      <c r="BW285" s="65"/>
      <c r="BX285" s="65"/>
      <c r="BY285" s="65"/>
      <c r="BZ285" s="65"/>
      <c r="CA285" s="65"/>
      <c r="CB285" s="65"/>
      <c r="CC285" s="65"/>
      <c r="CD285" s="65"/>
      <c r="CE285" s="65"/>
      <c r="CF285" s="65"/>
      <c r="CG285" s="65"/>
      <c r="CH285" s="65"/>
      <c r="CI285" s="65"/>
      <c r="CJ285" s="65"/>
      <c r="CK285" s="65"/>
      <c r="CL285" s="65"/>
      <c r="CM285" s="65"/>
      <c r="CN285" s="65"/>
      <c r="CO285" s="65"/>
      <c r="CP285" s="65"/>
      <c r="CQ285" s="65"/>
      <c r="CR285" s="65"/>
      <c r="CS285" s="65"/>
      <c r="CT285" s="65"/>
      <c r="CU285" s="65"/>
      <c r="CV285" s="65"/>
      <c r="CW285" s="65"/>
      <c r="CX285" s="65"/>
      <c r="CY285" s="65"/>
      <c r="CZ285" s="65"/>
      <c r="DA285" s="65"/>
      <c r="DB285" s="65"/>
      <c r="DC285" s="65"/>
      <c r="DD285" s="65"/>
      <c r="DE285" s="65"/>
      <c r="DF285" s="65"/>
      <c r="DG285" s="65"/>
      <c r="DH285" s="65"/>
      <c r="DI285" s="65"/>
      <c r="DJ285" s="65"/>
      <c r="DK285" s="65"/>
      <c r="DL285" s="65"/>
      <c r="DM285" s="65"/>
      <c r="DN285" s="65"/>
      <c r="DO285" s="65"/>
      <c r="DP285" s="65"/>
      <c r="DQ285" s="65"/>
      <c r="DR285" s="65"/>
      <c r="DS285" s="65"/>
      <c r="DT285" s="65"/>
      <c r="DU285" s="65"/>
      <c r="DV285" s="65"/>
      <c r="DW285" s="65"/>
      <c r="DX285" s="65"/>
      <c r="DY285" s="65"/>
      <c r="DZ285" s="65"/>
      <c r="EA285" s="65"/>
      <c r="EB285" s="65"/>
      <c r="EC285" s="65"/>
      <c r="ED285" s="65"/>
      <c r="EE285" s="65"/>
      <c r="EF285" s="65"/>
      <c r="EG285" s="65"/>
      <c r="EH285" s="65"/>
      <c r="EI285" s="65"/>
      <c r="EJ285" s="65"/>
      <c r="EK285" s="65"/>
      <c r="EL285" s="65"/>
      <c r="EM285" s="65"/>
      <c r="EN285" s="65"/>
      <c r="EO285" s="65"/>
      <c r="EP285" s="65"/>
      <c r="EQ285" s="65"/>
      <c r="ER285" s="65"/>
      <c r="ES285" s="65"/>
      <c r="ET285" s="65"/>
      <c r="EU285" s="65"/>
      <c r="EV285" s="65"/>
      <c r="EW285" s="65"/>
      <c r="EX285" s="65"/>
      <c r="EY285" s="65"/>
      <c r="EZ285" s="65"/>
      <c r="FA285" s="65"/>
      <c r="FB285" s="65"/>
      <c r="FC285" s="65"/>
      <c r="FD285" s="65"/>
      <c r="FE285" s="65"/>
      <c r="FF285" s="65"/>
      <c r="FG285" s="65"/>
      <c r="FH285" s="65"/>
      <c r="FI285" s="65"/>
      <c r="FJ285" s="65"/>
      <c r="FK285" s="65"/>
      <c r="FL285" s="65"/>
      <c r="FM285" s="65"/>
      <c r="FN285" s="65"/>
      <c r="FO285" s="65"/>
      <c r="FP285" s="65"/>
      <c r="FQ285" s="65"/>
      <c r="FR285" s="65"/>
      <c r="FS285" s="65"/>
      <c r="FT285" s="65"/>
      <c r="FU285" s="65"/>
    </row>
    <row r="286" spans="10:177" s="1" customFormat="1"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  <c r="Z286" s="65"/>
      <c r="AA286" s="65"/>
      <c r="AB286" s="65"/>
      <c r="AC286" s="65"/>
      <c r="AD286" s="65"/>
      <c r="AE286" s="65"/>
      <c r="AF286" s="65"/>
      <c r="AG286" s="65"/>
      <c r="AH286" s="65"/>
      <c r="AI286" s="65"/>
      <c r="AJ286" s="65"/>
      <c r="AK286" s="65"/>
      <c r="AL286" s="65"/>
      <c r="AM286" s="65"/>
      <c r="AN286" s="65"/>
      <c r="AO286" s="65"/>
      <c r="AP286" s="65"/>
      <c r="AQ286" s="65"/>
      <c r="AR286" s="65"/>
      <c r="AS286" s="65"/>
      <c r="AT286" s="65"/>
      <c r="AU286" s="65"/>
      <c r="AV286" s="65"/>
      <c r="AW286" s="65"/>
      <c r="AX286" s="65"/>
      <c r="AY286" s="65"/>
      <c r="AZ286" s="65"/>
      <c r="BA286" s="65"/>
      <c r="BB286" s="65"/>
      <c r="BC286" s="65"/>
      <c r="BD286" s="65"/>
      <c r="BE286" s="65"/>
      <c r="BF286" s="65"/>
      <c r="BG286" s="65"/>
      <c r="BH286" s="65"/>
      <c r="BI286" s="65"/>
      <c r="BJ286" s="65"/>
      <c r="BK286" s="65"/>
      <c r="BL286" s="65"/>
      <c r="BM286" s="65"/>
      <c r="BN286" s="65"/>
      <c r="BO286" s="65"/>
      <c r="BP286" s="65"/>
      <c r="BQ286" s="65"/>
      <c r="BR286" s="65"/>
      <c r="BS286" s="65"/>
      <c r="BT286" s="65"/>
      <c r="BU286" s="65"/>
      <c r="BV286" s="65"/>
      <c r="BW286" s="65"/>
      <c r="BX286" s="65"/>
      <c r="BY286" s="65"/>
      <c r="BZ286" s="65"/>
      <c r="CA286" s="65"/>
      <c r="CB286" s="65"/>
      <c r="CC286" s="65"/>
      <c r="CD286" s="65"/>
      <c r="CE286" s="65"/>
      <c r="CF286" s="65"/>
      <c r="CG286" s="65"/>
      <c r="CH286" s="65"/>
      <c r="CI286" s="65"/>
      <c r="CJ286" s="65"/>
      <c r="CK286" s="65"/>
      <c r="CL286" s="65"/>
      <c r="CM286" s="65"/>
      <c r="CN286" s="65"/>
      <c r="CO286" s="65"/>
      <c r="CP286" s="65"/>
      <c r="CQ286" s="65"/>
      <c r="CR286" s="65"/>
      <c r="CS286" s="65"/>
      <c r="CT286" s="65"/>
      <c r="CU286" s="65"/>
      <c r="CV286" s="65"/>
      <c r="CW286" s="65"/>
      <c r="CX286" s="65"/>
      <c r="CY286" s="65"/>
      <c r="CZ286" s="65"/>
      <c r="DA286" s="65"/>
      <c r="DB286" s="65"/>
      <c r="DC286" s="65"/>
      <c r="DD286" s="65"/>
      <c r="DE286" s="65"/>
      <c r="DF286" s="65"/>
      <c r="DG286" s="65"/>
      <c r="DH286" s="65"/>
      <c r="DI286" s="65"/>
      <c r="DJ286" s="65"/>
      <c r="DK286" s="65"/>
      <c r="DL286" s="65"/>
      <c r="DM286" s="65"/>
      <c r="DN286" s="65"/>
      <c r="DO286" s="65"/>
      <c r="DP286" s="65"/>
      <c r="DQ286" s="65"/>
      <c r="DR286" s="65"/>
      <c r="DS286" s="65"/>
      <c r="DT286" s="65"/>
      <c r="DU286" s="65"/>
      <c r="DV286" s="65"/>
      <c r="DW286" s="65"/>
      <c r="DX286" s="65"/>
      <c r="DY286" s="65"/>
      <c r="DZ286" s="65"/>
      <c r="EA286" s="65"/>
      <c r="EB286" s="65"/>
      <c r="EC286" s="65"/>
      <c r="ED286" s="65"/>
      <c r="EE286" s="65"/>
      <c r="EF286" s="65"/>
      <c r="EG286" s="65"/>
      <c r="EH286" s="65"/>
      <c r="EI286" s="65"/>
      <c r="EJ286" s="65"/>
      <c r="EK286" s="65"/>
      <c r="EL286" s="65"/>
      <c r="EM286" s="65"/>
      <c r="EN286" s="65"/>
      <c r="EO286" s="65"/>
      <c r="EP286" s="65"/>
      <c r="EQ286" s="65"/>
      <c r="ER286" s="65"/>
      <c r="ES286" s="65"/>
      <c r="ET286" s="65"/>
      <c r="EU286" s="65"/>
      <c r="EV286" s="65"/>
      <c r="EW286" s="65"/>
      <c r="EX286" s="65"/>
      <c r="EY286" s="65"/>
      <c r="EZ286" s="65"/>
      <c r="FA286" s="65"/>
      <c r="FB286" s="65"/>
      <c r="FC286" s="65"/>
      <c r="FD286" s="65"/>
      <c r="FE286" s="65"/>
      <c r="FF286" s="65"/>
      <c r="FG286" s="65"/>
      <c r="FH286" s="65"/>
      <c r="FI286" s="65"/>
      <c r="FJ286" s="65"/>
      <c r="FK286" s="65"/>
      <c r="FL286" s="65"/>
      <c r="FM286" s="65"/>
      <c r="FN286" s="65"/>
      <c r="FO286" s="65"/>
      <c r="FP286" s="65"/>
      <c r="FQ286" s="65"/>
      <c r="FR286" s="65"/>
      <c r="FS286" s="65"/>
      <c r="FT286" s="65"/>
      <c r="FU286" s="65"/>
    </row>
    <row r="287" spans="10:177" s="1" customFormat="1">
      <c r="J287" s="65"/>
      <c r="K287" s="65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65"/>
      <c r="Y287" s="65"/>
      <c r="Z287" s="65"/>
      <c r="AA287" s="65"/>
      <c r="AB287" s="65"/>
      <c r="AC287" s="65"/>
      <c r="AD287" s="65"/>
      <c r="AE287" s="65"/>
      <c r="AF287" s="65"/>
      <c r="AG287" s="65"/>
      <c r="AH287" s="65"/>
      <c r="AI287" s="65"/>
      <c r="AJ287" s="65"/>
      <c r="AK287" s="65"/>
      <c r="AL287" s="65"/>
      <c r="AM287" s="65"/>
      <c r="AN287" s="65"/>
      <c r="AO287" s="65"/>
      <c r="AP287" s="65"/>
      <c r="AQ287" s="65"/>
      <c r="AR287" s="65"/>
      <c r="AS287" s="65"/>
      <c r="AT287" s="65"/>
      <c r="AU287" s="65"/>
      <c r="AV287" s="65"/>
      <c r="AW287" s="65"/>
      <c r="AX287" s="65"/>
      <c r="AY287" s="65"/>
      <c r="AZ287" s="65"/>
      <c r="BA287" s="65"/>
      <c r="BB287" s="65"/>
      <c r="BC287" s="65"/>
      <c r="BD287" s="65"/>
      <c r="BE287" s="65"/>
      <c r="BF287" s="65"/>
      <c r="BG287" s="65"/>
      <c r="BH287" s="65"/>
      <c r="BI287" s="65"/>
      <c r="BJ287" s="65"/>
      <c r="BK287" s="65"/>
      <c r="BL287" s="65"/>
      <c r="BM287" s="65"/>
      <c r="BN287" s="65"/>
      <c r="BO287" s="65"/>
      <c r="BP287" s="65"/>
      <c r="BQ287" s="65"/>
      <c r="BR287" s="65"/>
      <c r="BS287" s="65"/>
      <c r="BT287" s="65"/>
      <c r="BU287" s="65"/>
      <c r="BV287" s="65"/>
      <c r="BW287" s="65"/>
      <c r="BX287" s="65"/>
      <c r="BY287" s="65"/>
      <c r="BZ287" s="65"/>
      <c r="CA287" s="65"/>
      <c r="CB287" s="65"/>
      <c r="CC287" s="65"/>
      <c r="CD287" s="65"/>
      <c r="CE287" s="65"/>
      <c r="CF287" s="65"/>
      <c r="CG287" s="65"/>
      <c r="CH287" s="65"/>
      <c r="CI287" s="65"/>
      <c r="CJ287" s="65"/>
      <c r="CK287" s="65"/>
      <c r="CL287" s="65"/>
      <c r="CM287" s="65"/>
      <c r="CN287" s="65"/>
      <c r="CO287" s="65"/>
      <c r="CP287" s="65"/>
      <c r="CQ287" s="65"/>
      <c r="CR287" s="65"/>
      <c r="CS287" s="65"/>
      <c r="CT287" s="65"/>
      <c r="CU287" s="65"/>
      <c r="CV287" s="65"/>
      <c r="CW287" s="65"/>
      <c r="CX287" s="65"/>
      <c r="CY287" s="65"/>
      <c r="CZ287" s="65"/>
      <c r="DA287" s="65"/>
      <c r="DB287" s="65"/>
      <c r="DC287" s="65"/>
      <c r="DD287" s="65"/>
      <c r="DE287" s="65"/>
      <c r="DF287" s="65"/>
      <c r="DG287" s="65"/>
      <c r="DH287" s="65"/>
      <c r="DI287" s="65"/>
      <c r="DJ287" s="65"/>
      <c r="DK287" s="65"/>
      <c r="DL287" s="65"/>
      <c r="DM287" s="65"/>
      <c r="DN287" s="65"/>
      <c r="DO287" s="65"/>
      <c r="DP287" s="65"/>
      <c r="DQ287" s="65"/>
      <c r="DR287" s="65"/>
      <c r="DS287" s="65"/>
      <c r="DT287" s="65"/>
      <c r="DU287" s="65"/>
      <c r="DV287" s="65"/>
      <c r="DW287" s="65"/>
      <c r="DX287" s="65"/>
      <c r="DY287" s="65"/>
      <c r="DZ287" s="65"/>
      <c r="EA287" s="65"/>
      <c r="EB287" s="65"/>
      <c r="EC287" s="65"/>
      <c r="ED287" s="65"/>
      <c r="EE287" s="65"/>
      <c r="EF287" s="65"/>
      <c r="EG287" s="65"/>
      <c r="EH287" s="65"/>
      <c r="EI287" s="65"/>
      <c r="EJ287" s="65"/>
      <c r="EK287" s="65"/>
      <c r="EL287" s="65"/>
      <c r="EM287" s="65"/>
      <c r="EN287" s="65"/>
      <c r="EO287" s="65"/>
      <c r="EP287" s="65"/>
      <c r="EQ287" s="65"/>
      <c r="ER287" s="65"/>
      <c r="ES287" s="65"/>
      <c r="ET287" s="65"/>
      <c r="EU287" s="65"/>
      <c r="EV287" s="65"/>
      <c r="EW287" s="65"/>
      <c r="EX287" s="65"/>
      <c r="EY287" s="65"/>
      <c r="EZ287" s="65"/>
      <c r="FA287" s="65"/>
      <c r="FB287" s="65"/>
      <c r="FC287" s="65"/>
      <c r="FD287" s="65"/>
      <c r="FE287" s="65"/>
      <c r="FF287" s="65"/>
      <c r="FG287" s="65"/>
      <c r="FH287" s="65"/>
      <c r="FI287" s="65"/>
      <c r="FJ287" s="65"/>
      <c r="FK287" s="65"/>
      <c r="FL287" s="65"/>
      <c r="FM287" s="65"/>
      <c r="FN287" s="65"/>
      <c r="FO287" s="65"/>
      <c r="FP287" s="65"/>
      <c r="FQ287" s="65"/>
      <c r="FR287" s="65"/>
      <c r="FS287" s="65"/>
      <c r="FT287" s="65"/>
      <c r="FU287" s="65"/>
    </row>
    <row r="288" spans="10:177" s="1" customFormat="1"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65"/>
      <c r="Z288" s="65"/>
      <c r="AA288" s="65"/>
      <c r="AB288" s="65"/>
      <c r="AC288" s="65"/>
      <c r="AD288" s="65"/>
      <c r="AE288" s="65"/>
      <c r="AF288" s="65"/>
      <c r="AG288" s="65"/>
      <c r="AH288" s="65"/>
      <c r="AI288" s="65"/>
      <c r="AJ288" s="65"/>
      <c r="AK288" s="65"/>
      <c r="AL288" s="65"/>
      <c r="AM288" s="65"/>
      <c r="AN288" s="65"/>
      <c r="AO288" s="65"/>
      <c r="AP288" s="65"/>
      <c r="AQ288" s="65"/>
      <c r="AR288" s="65"/>
      <c r="AS288" s="65"/>
      <c r="AT288" s="65"/>
      <c r="AU288" s="65"/>
      <c r="AV288" s="65"/>
      <c r="AW288" s="65"/>
      <c r="AX288" s="65"/>
      <c r="AY288" s="65"/>
      <c r="AZ288" s="65"/>
      <c r="BA288" s="65"/>
      <c r="BB288" s="65"/>
      <c r="BC288" s="65"/>
      <c r="BD288" s="65"/>
      <c r="BE288" s="65"/>
      <c r="BF288" s="65"/>
      <c r="BG288" s="65"/>
      <c r="BH288" s="65"/>
      <c r="BI288" s="65"/>
      <c r="BJ288" s="65"/>
      <c r="BK288" s="65"/>
      <c r="BL288" s="65"/>
      <c r="BM288" s="65"/>
      <c r="BN288" s="65"/>
      <c r="BO288" s="65"/>
      <c r="BP288" s="65"/>
      <c r="BQ288" s="65"/>
      <c r="BR288" s="65"/>
      <c r="BS288" s="65"/>
      <c r="BT288" s="65"/>
      <c r="BU288" s="65"/>
      <c r="BV288" s="65"/>
      <c r="BW288" s="65"/>
      <c r="BX288" s="65"/>
      <c r="BY288" s="65"/>
      <c r="BZ288" s="65"/>
      <c r="CA288" s="65"/>
      <c r="CB288" s="65"/>
      <c r="CC288" s="65"/>
      <c r="CD288" s="65"/>
      <c r="CE288" s="65"/>
      <c r="CF288" s="65"/>
      <c r="CG288" s="65"/>
      <c r="CH288" s="65"/>
      <c r="CI288" s="65"/>
      <c r="CJ288" s="65"/>
      <c r="CK288" s="65"/>
      <c r="CL288" s="65"/>
      <c r="CM288" s="65"/>
      <c r="CN288" s="65"/>
      <c r="CO288" s="65"/>
      <c r="CP288" s="65"/>
      <c r="CQ288" s="65"/>
      <c r="CR288" s="65"/>
      <c r="CS288" s="65"/>
      <c r="CT288" s="65"/>
      <c r="CU288" s="65"/>
      <c r="CV288" s="65"/>
      <c r="CW288" s="65"/>
      <c r="CX288" s="65"/>
      <c r="CY288" s="65"/>
      <c r="CZ288" s="65"/>
      <c r="DA288" s="65"/>
      <c r="DB288" s="65"/>
      <c r="DC288" s="65"/>
      <c r="DD288" s="65"/>
      <c r="DE288" s="65"/>
      <c r="DF288" s="65"/>
      <c r="DG288" s="65"/>
      <c r="DH288" s="65"/>
      <c r="DI288" s="65"/>
      <c r="DJ288" s="65"/>
      <c r="DK288" s="65"/>
      <c r="DL288" s="65"/>
      <c r="DM288" s="65"/>
      <c r="DN288" s="65"/>
      <c r="DO288" s="65"/>
      <c r="DP288" s="65"/>
      <c r="DQ288" s="65"/>
      <c r="DR288" s="65"/>
      <c r="DS288" s="65"/>
      <c r="DT288" s="65"/>
      <c r="DU288" s="65"/>
      <c r="DV288" s="65"/>
      <c r="DW288" s="65"/>
      <c r="DX288" s="65"/>
      <c r="DY288" s="65"/>
      <c r="DZ288" s="65"/>
      <c r="EA288" s="65"/>
      <c r="EB288" s="65"/>
      <c r="EC288" s="65"/>
      <c r="ED288" s="65"/>
      <c r="EE288" s="65"/>
      <c r="EF288" s="65"/>
      <c r="EG288" s="65"/>
      <c r="EH288" s="65"/>
      <c r="EI288" s="65"/>
      <c r="EJ288" s="65"/>
      <c r="EK288" s="65"/>
      <c r="EL288" s="65"/>
      <c r="EM288" s="65"/>
      <c r="EN288" s="65"/>
      <c r="EO288" s="65"/>
      <c r="EP288" s="65"/>
      <c r="EQ288" s="65"/>
      <c r="ER288" s="65"/>
      <c r="ES288" s="65"/>
      <c r="ET288" s="65"/>
      <c r="EU288" s="65"/>
      <c r="EV288" s="65"/>
      <c r="EW288" s="65"/>
      <c r="EX288" s="65"/>
      <c r="EY288" s="65"/>
      <c r="EZ288" s="65"/>
      <c r="FA288" s="65"/>
      <c r="FB288" s="65"/>
      <c r="FC288" s="65"/>
      <c r="FD288" s="65"/>
      <c r="FE288" s="65"/>
      <c r="FF288" s="65"/>
      <c r="FG288" s="65"/>
      <c r="FH288" s="65"/>
      <c r="FI288" s="65"/>
      <c r="FJ288" s="65"/>
      <c r="FK288" s="65"/>
      <c r="FL288" s="65"/>
      <c r="FM288" s="65"/>
      <c r="FN288" s="65"/>
      <c r="FO288" s="65"/>
      <c r="FP288" s="65"/>
      <c r="FQ288" s="65"/>
      <c r="FR288" s="65"/>
      <c r="FS288" s="65"/>
      <c r="FT288" s="65"/>
      <c r="FU288" s="65"/>
    </row>
    <row r="289" spans="10:177" s="1" customFormat="1"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65"/>
      <c r="Z289" s="65"/>
      <c r="AA289" s="65"/>
      <c r="AB289" s="65"/>
      <c r="AC289" s="65"/>
      <c r="AD289" s="65"/>
      <c r="AE289" s="65"/>
      <c r="AF289" s="65"/>
      <c r="AG289" s="65"/>
      <c r="AH289" s="65"/>
      <c r="AI289" s="65"/>
      <c r="AJ289" s="65"/>
      <c r="AK289" s="65"/>
      <c r="AL289" s="65"/>
      <c r="AM289" s="65"/>
      <c r="AN289" s="65"/>
      <c r="AO289" s="65"/>
      <c r="AP289" s="65"/>
      <c r="AQ289" s="65"/>
      <c r="AR289" s="65"/>
      <c r="AS289" s="65"/>
      <c r="AT289" s="65"/>
      <c r="AU289" s="65"/>
      <c r="AV289" s="65"/>
      <c r="AW289" s="65"/>
      <c r="AX289" s="65"/>
      <c r="AY289" s="65"/>
      <c r="AZ289" s="65"/>
      <c r="BA289" s="65"/>
      <c r="BB289" s="65"/>
      <c r="BC289" s="65"/>
      <c r="BD289" s="65"/>
      <c r="BE289" s="65"/>
      <c r="BF289" s="65"/>
      <c r="BG289" s="65"/>
      <c r="BH289" s="65"/>
      <c r="BI289" s="65"/>
      <c r="BJ289" s="65"/>
      <c r="BK289" s="65"/>
      <c r="BL289" s="65"/>
      <c r="BM289" s="65"/>
      <c r="BN289" s="65"/>
      <c r="BO289" s="65"/>
      <c r="BP289" s="65"/>
      <c r="BQ289" s="65"/>
      <c r="BR289" s="65"/>
      <c r="BS289" s="65"/>
      <c r="BT289" s="65"/>
      <c r="BU289" s="65"/>
      <c r="BV289" s="65"/>
      <c r="BW289" s="65"/>
      <c r="BX289" s="65"/>
      <c r="BY289" s="65"/>
      <c r="BZ289" s="65"/>
      <c r="CA289" s="65"/>
      <c r="CB289" s="65"/>
      <c r="CC289" s="65"/>
      <c r="CD289" s="65"/>
      <c r="CE289" s="65"/>
      <c r="CF289" s="65"/>
      <c r="CG289" s="65"/>
      <c r="CH289" s="65"/>
      <c r="CI289" s="65"/>
      <c r="CJ289" s="65"/>
      <c r="CK289" s="65"/>
      <c r="CL289" s="65"/>
      <c r="CM289" s="65"/>
      <c r="CN289" s="65"/>
      <c r="CO289" s="65"/>
      <c r="CP289" s="65"/>
      <c r="CQ289" s="65"/>
      <c r="CR289" s="65"/>
      <c r="CS289" s="65"/>
      <c r="CT289" s="65"/>
      <c r="CU289" s="65"/>
      <c r="CV289" s="65"/>
      <c r="CW289" s="65"/>
      <c r="CX289" s="65"/>
      <c r="CY289" s="65"/>
      <c r="CZ289" s="65"/>
      <c r="DA289" s="65"/>
      <c r="DB289" s="65"/>
      <c r="DC289" s="65"/>
      <c r="DD289" s="65"/>
      <c r="DE289" s="65"/>
      <c r="DF289" s="65"/>
      <c r="DG289" s="65"/>
      <c r="DH289" s="65"/>
      <c r="DI289" s="65"/>
      <c r="DJ289" s="65"/>
      <c r="DK289" s="65"/>
      <c r="DL289" s="65"/>
      <c r="DM289" s="65"/>
      <c r="DN289" s="65"/>
      <c r="DO289" s="65"/>
      <c r="DP289" s="65"/>
      <c r="DQ289" s="65"/>
      <c r="DR289" s="65"/>
      <c r="DS289" s="65"/>
      <c r="DT289" s="65"/>
      <c r="DU289" s="65"/>
      <c r="DV289" s="65"/>
      <c r="DW289" s="65"/>
      <c r="DX289" s="65"/>
      <c r="DY289" s="65"/>
      <c r="DZ289" s="65"/>
      <c r="EA289" s="65"/>
      <c r="EB289" s="65"/>
      <c r="EC289" s="65"/>
      <c r="ED289" s="65"/>
      <c r="EE289" s="65"/>
      <c r="EF289" s="65"/>
      <c r="EG289" s="65"/>
      <c r="EH289" s="65"/>
      <c r="EI289" s="65"/>
      <c r="EJ289" s="65"/>
      <c r="EK289" s="65"/>
      <c r="EL289" s="65"/>
      <c r="EM289" s="65"/>
      <c r="EN289" s="65"/>
      <c r="EO289" s="65"/>
      <c r="EP289" s="65"/>
      <c r="EQ289" s="65"/>
      <c r="ER289" s="65"/>
      <c r="ES289" s="65"/>
      <c r="ET289" s="65"/>
      <c r="EU289" s="65"/>
      <c r="EV289" s="65"/>
      <c r="EW289" s="65"/>
      <c r="EX289" s="65"/>
      <c r="EY289" s="65"/>
      <c r="EZ289" s="65"/>
      <c r="FA289" s="65"/>
      <c r="FB289" s="65"/>
      <c r="FC289" s="65"/>
      <c r="FD289" s="65"/>
      <c r="FE289" s="65"/>
      <c r="FF289" s="65"/>
      <c r="FG289" s="65"/>
      <c r="FH289" s="65"/>
      <c r="FI289" s="65"/>
      <c r="FJ289" s="65"/>
      <c r="FK289" s="65"/>
      <c r="FL289" s="65"/>
      <c r="FM289" s="65"/>
      <c r="FN289" s="65"/>
      <c r="FO289" s="65"/>
      <c r="FP289" s="65"/>
      <c r="FQ289" s="65"/>
      <c r="FR289" s="65"/>
      <c r="FS289" s="65"/>
      <c r="FT289" s="65"/>
      <c r="FU289" s="65"/>
    </row>
    <row r="290" spans="10:177" s="1" customFormat="1">
      <c r="J290" s="65"/>
      <c r="K290" s="65"/>
      <c r="L290" s="65"/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65"/>
      <c r="X290" s="65"/>
      <c r="Y290" s="65"/>
      <c r="Z290" s="65"/>
      <c r="AA290" s="65"/>
      <c r="AB290" s="65"/>
      <c r="AC290" s="65"/>
      <c r="AD290" s="65"/>
      <c r="AE290" s="65"/>
      <c r="AF290" s="65"/>
      <c r="AG290" s="65"/>
      <c r="AH290" s="65"/>
      <c r="AI290" s="65"/>
      <c r="AJ290" s="65"/>
      <c r="AK290" s="65"/>
      <c r="AL290" s="65"/>
      <c r="AM290" s="65"/>
      <c r="AN290" s="65"/>
      <c r="AO290" s="65"/>
      <c r="AP290" s="65"/>
      <c r="AQ290" s="65"/>
      <c r="AR290" s="65"/>
      <c r="AS290" s="65"/>
      <c r="AT290" s="65"/>
      <c r="AU290" s="65"/>
      <c r="AV290" s="65"/>
      <c r="AW290" s="65"/>
      <c r="AX290" s="65"/>
      <c r="AY290" s="65"/>
      <c r="AZ290" s="65"/>
      <c r="BA290" s="65"/>
      <c r="BB290" s="65"/>
      <c r="BC290" s="65"/>
      <c r="BD290" s="65"/>
      <c r="BE290" s="65"/>
      <c r="BF290" s="65"/>
      <c r="BG290" s="65"/>
      <c r="BH290" s="65"/>
      <c r="BI290" s="65"/>
      <c r="BJ290" s="65"/>
      <c r="BK290" s="65"/>
      <c r="BL290" s="65"/>
      <c r="BM290" s="65"/>
      <c r="BN290" s="65"/>
      <c r="BO290" s="65"/>
      <c r="BP290" s="65"/>
      <c r="BQ290" s="65"/>
      <c r="BR290" s="65"/>
      <c r="BS290" s="65"/>
      <c r="BT290" s="65"/>
      <c r="BU290" s="65"/>
      <c r="BV290" s="65"/>
      <c r="BW290" s="65"/>
      <c r="BX290" s="65"/>
      <c r="BY290" s="65"/>
      <c r="BZ290" s="65"/>
      <c r="CA290" s="65"/>
      <c r="CB290" s="65"/>
      <c r="CC290" s="65"/>
      <c r="CD290" s="65"/>
      <c r="CE290" s="65"/>
      <c r="CF290" s="65"/>
      <c r="CG290" s="65"/>
      <c r="CH290" s="65"/>
      <c r="CI290" s="65"/>
      <c r="CJ290" s="65"/>
      <c r="CK290" s="65"/>
      <c r="CL290" s="65"/>
      <c r="CM290" s="65"/>
      <c r="CN290" s="65"/>
      <c r="CO290" s="65"/>
      <c r="CP290" s="65"/>
      <c r="CQ290" s="65"/>
      <c r="CR290" s="65"/>
      <c r="CS290" s="65"/>
      <c r="CT290" s="65"/>
      <c r="CU290" s="65"/>
      <c r="CV290" s="65"/>
      <c r="CW290" s="65"/>
      <c r="CX290" s="65"/>
      <c r="CY290" s="65"/>
      <c r="CZ290" s="65"/>
      <c r="DA290" s="65"/>
      <c r="DB290" s="65"/>
      <c r="DC290" s="65"/>
      <c r="DD290" s="65"/>
      <c r="DE290" s="65"/>
      <c r="DF290" s="65"/>
      <c r="DG290" s="65"/>
      <c r="DH290" s="65"/>
      <c r="DI290" s="65"/>
      <c r="DJ290" s="65"/>
      <c r="DK290" s="65"/>
      <c r="DL290" s="65"/>
      <c r="DM290" s="65"/>
      <c r="DN290" s="65"/>
      <c r="DO290" s="65"/>
      <c r="DP290" s="65"/>
      <c r="DQ290" s="65"/>
      <c r="DR290" s="65"/>
      <c r="DS290" s="65"/>
      <c r="DT290" s="65"/>
      <c r="DU290" s="65"/>
      <c r="DV290" s="65"/>
      <c r="DW290" s="65"/>
      <c r="DX290" s="65"/>
      <c r="DY290" s="65"/>
      <c r="DZ290" s="65"/>
      <c r="EA290" s="65"/>
      <c r="EB290" s="65"/>
      <c r="EC290" s="65"/>
      <c r="ED290" s="65"/>
      <c r="EE290" s="65"/>
      <c r="EF290" s="65"/>
      <c r="EG290" s="65"/>
      <c r="EH290" s="65"/>
      <c r="EI290" s="65"/>
      <c r="EJ290" s="65"/>
      <c r="EK290" s="65"/>
      <c r="EL290" s="65"/>
      <c r="EM290" s="65"/>
      <c r="EN290" s="65"/>
      <c r="EO290" s="65"/>
      <c r="EP290" s="65"/>
      <c r="EQ290" s="65"/>
      <c r="ER290" s="65"/>
      <c r="ES290" s="65"/>
      <c r="ET290" s="65"/>
      <c r="EU290" s="65"/>
      <c r="EV290" s="65"/>
      <c r="EW290" s="65"/>
      <c r="EX290" s="65"/>
      <c r="EY290" s="65"/>
      <c r="EZ290" s="65"/>
      <c r="FA290" s="65"/>
      <c r="FB290" s="65"/>
      <c r="FC290" s="65"/>
      <c r="FD290" s="65"/>
      <c r="FE290" s="65"/>
      <c r="FF290" s="65"/>
      <c r="FG290" s="65"/>
      <c r="FH290" s="65"/>
      <c r="FI290" s="65"/>
      <c r="FJ290" s="65"/>
      <c r="FK290" s="65"/>
      <c r="FL290" s="65"/>
      <c r="FM290" s="65"/>
      <c r="FN290" s="65"/>
      <c r="FO290" s="65"/>
      <c r="FP290" s="65"/>
      <c r="FQ290" s="65"/>
      <c r="FR290" s="65"/>
      <c r="FS290" s="65"/>
      <c r="FT290" s="65"/>
      <c r="FU290" s="65"/>
    </row>
    <row r="291" spans="10:177" s="1" customFormat="1"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65"/>
      <c r="Z291" s="65"/>
      <c r="AA291" s="65"/>
      <c r="AB291" s="65"/>
      <c r="AC291" s="65"/>
      <c r="AD291" s="65"/>
      <c r="AE291" s="65"/>
      <c r="AF291" s="65"/>
      <c r="AG291" s="65"/>
      <c r="AH291" s="65"/>
      <c r="AI291" s="65"/>
      <c r="AJ291" s="65"/>
      <c r="AK291" s="65"/>
      <c r="AL291" s="65"/>
      <c r="AM291" s="65"/>
      <c r="AN291" s="65"/>
      <c r="AO291" s="65"/>
      <c r="AP291" s="65"/>
      <c r="AQ291" s="65"/>
      <c r="AR291" s="65"/>
      <c r="AS291" s="65"/>
      <c r="AT291" s="65"/>
      <c r="AU291" s="65"/>
      <c r="AV291" s="65"/>
      <c r="AW291" s="65"/>
      <c r="AX291" s="65"/>
      <c r="AY291" s="65"/>
      <c r="AZ291" s="65"/>
      <c r="BA291" s="65"/>
      <c r="BB291" s="65"/>
      <c r="BC291" s="65"/>
      <c r="BD291" s="65"/>
      <c r="BE291" s="65"/>
      <c r="BF291" s="65"/>
      <c r="BG291" s="65"/>
      <c r="BH291" s="65"/>
      <c r="BI291" s="65"/>
      <c r="BJ291" s="65"/>
      <c r="BK291" s="65"/>
      <c r="BL291" s="65"/>
      <c r="BM291" s="65"/>
      <c r="BN291" s="65"/>
      <c r="BO291" s="65"/>
      <c r="BP291" s="65"/>
      <c r="BQ291" s="65"/>
      <c r="BR291" s="65"/>
      <c r="BS291" s="65"/>
      <c r="BT291" s="65"/>
      <c r="BU291" s="65"/>
      <c r="BV291" s="65"/>
      <c r="BW291" s="65"/>
      <c r="BX291" s="65"/>
      <c r="BY291" s="65"/>
      <c r="BZ291" s="65"/>
      <c r="CA291" s="65"/>
      <c r="CB291" s="65"/>
      <c r="CC291" s="65"/>
      <c r="CD291" s="65"/>
      <c r="CE291" s="65"/>
      <c r="CF291" s="65"/>
      <c r="CG291" s="65"/>
      <c r="CH291" s="65"/>
      <c r="CI291" s="65"/>
      <c r="CJ291" s="65"/>
      <c r="CK291" s="65"/>
      <c r="CL291" s="65"/>
      <c r="CM291" s="65"/>
      <c r="CN291" s="65"/>
      <c r="CO291" s="65"/>
      <c r="CP291" s="65"/>
      <c r="CQ291" s="65"/>
      <c r="CR291" s="65"/>
      <c r="CS291" s="65"/>
      <c r="CT291" s="65"/>
      <c r="CU291" s="65"/>
      <c r="CV291" s="65"/>
      <c r="CW291" s="65"/>
      <c r="CX291" s="65"/>
      <c r="CY291" s="65"/>
      <c r="CZ291" s="65"/>
      <c r="DA291" s="65"/>
      <c r="DB291" s="65"/>
      <c r="DC291" s="65"/>
      <c r="DD291" s="65"/>
      <c r="DE291" s="65"/>
      <c r="DF291" s="65"/>
      <c r="DG291" s="65"/>
      <c r="DH291" s="65"/>
      <c r="DI291" s="65"/>
      <c r="DJ291" s="65"/>
      <c r="DK291" s="65"/>
      <c r="DL291" s="65"/>
      <c r="DM291" s="65"/>
      <c r="DN291" s="65"/>
      <c r="DO291" s="65"/>
      <c r="DP291" s="65"/>
      <c r="DQ291" s="65"/>
      <c r="DR291" s="65"/>
      <c r="DS291" s="65"/>
      <c r="DT291" s="65"/>
      <c r="DU291" s="65"/>
      <c r="DV291" s="65"/>
      <c r="DW291" s="65"/>
      <c r="DX291" s="65"/>
      <c r="DY291" s="65"/>
      <c r="DZ291" s="65"/>
      <c r="EA291" s="65"/>
      <c r="EB291" s="65"/>
      <c r="EC291" s="65"/>
      <c r="ED291" s="65"/>
      <c r="EE291" s="65"/>
      <c r="EF291" s="65"/>
      <c r="EG291" s="65"/>
      <c r="EH291" s="65"/>
      <c r="EI291" s="65"/>
      <c r="EJ291" s="65"/>
      <c r="EK291" s="65"/>
      <c r="EL291" s="65"/>
      <c r="EM291" s="65"/>
      <c r="EN291" s="65"/>
      <c r="EO291" s="65"/>
      <c r="EP291" s="65"/>
      <c r="EQ291" s="65"/>
      <c r="ER291" s="65"/>
      <c r="ES291" s="65"/>
      <c r="ET291" s="65"/>
      <c r="EU291" s="65"/>
      <c r="EV291" s="65"/>
      <c r="EW291" s="65"/>
      <c r="EX291" s="65"/>
      <c r="EY291" s="65"/>
      <c r="EZ291" s="65"/>
      <c r="FA291" s="65"/>
      <c r="FB291" s="65"/>
      <c r="FC291" s="65"/>
      <c r="FD291" s="65"/>
      <c r="FE291" s="65"/>
      <c r="FF291" s="65"/>
      <c r="FG291" s="65"/>
      <c r="FH291" s="65"/>
      <c r="FI291" s="65"/>
      <c r="FJ291" s="65"/>
      <c r="FK291" s="65"/>
      <c r="FL291" s="65"/>
      <c r="FM291" s="65"/>
      <c r="FN291" s="65"/>
      <c r="FO291" s="65"/>
      <c r="FP291" s="65"/>
      <c r="FQ291" s="65"/>
      <c r="FR291" s="65"/>
      <c r="FS291" s="65"/>
      <c r="FT291" s="65"/>
      <c r="FU291" s="65"/>
    </row>
    <row r="292" spans="10:177" s="1" customFormat="1"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65"/>
      <c r="Z292" s="65"/>
      <c r="AA292" s="65"/>
      <c r="AB292" s="65"/>
      <c r="AC292" s="65"/>
      <c r="AD292" s="65"/>
      <c r="AE292" s="65"/>
      <c r="AF292" s="65"/>
      <c r="AG292" s="65"/>
      <c r="AH292" s="65"/>
      <c r="AI292" s="65"/>
      <c r="AJ292" s="65"/>
      <c r="AK292" s="65"/>
      <c r="AL292" s="65"/>
      <c r="AM292" s="65"/>
      <c r="AN292" s="65"/>
      <c r="AO292" s="65"/>
      <c r="AP292" s="65"/>
      <c r="AQ292" s="65"/>
      <c r="AR292" s="65"/>
      <c r="AS292" s="65"/>
      <c r="AT292" s="65"/>
      <c r="AU292" s="65"/>
      <c r="AV292" s="65"/>
      <c r="AW292" s="65"/>
      <c r="AX292" s="65"/>
      <c r="AY292" s="65"/>
      <c r="AZ292" s="65"/>
      <c r="BA292" s="65"/>
      <c r="BB292" s="65"/>
      <c r="BC292" s="65"/>
      <c r="BD292" s="65"/>
      <c r="BE292" s="65"/>
      <c r="BF292" s="65"/>
      <c r="BG292" s="65"/>
      <c r="BH292" s="65"/>
      <c r="BI292" s="65"/>
      <c r="BJ292" s="65"/>
      <c r="BK292" s="65"/>
      <c r="BL292" s="65"/>
      <c r="BM292" s="65"/>
      <c r="BN292" s="65"/>
      <c r="BO292" s="65"/>
      <c r="BP292" s="65"/>
      <c r="BQ292" s="65"/>
      <c r="BR292" s="65"/>
      <c r="BS292" s="65"/>
      <c r="BT292" s="65"/>
      <c r="BU292" s="65"/>
      <c r="BV292" s="65"/>
      <c r="BW292" s="65"/>
      <c r="BX292" s="65"/>
      <c r="BY292" s="65"/>
      <c r="BZ292" s="65"/>
      <c r="CA292" s="65"/>
      <c r="CB292" s="65"/>
      <c r="CC292" s="65"/>
      <c r="CD292" s="65"/>
      <c r="CE292" s="65"/>
      <c r="CF292" s="65"/>
      <c r="CG292" s="65"/>
      <c r="CH292" s="65"/>
      <c r="CI292" s="65"/>
      <c r="CJ292" s="65"/>
      <c r="CK292" s="65"/>
      <c r="CL292" s="65"/>
      <c r="CM292" s="65"/>
      <c r="CN292" s="65"/>
      <c r="CO292" s="65"/>
      <c r="CP292" s="65"/>
      <c r="CQ292" s="65"/>
      <c r="CR292" s="65"/>
      <c r="CS292" s="65"/>
      <c r="CT292" s="65"/>
      <c r="CU292" s="65"/>
      <c r="CV292" s="65"/>
      <c r="CW292" s="65"/>
      <c r="CX292" s="65"/>
      <c r="CY292" s="65"/>
      <c r="CZ292" s="65"/>
      <c r="DA292" s="65"/>
      <c r="DB292" s="65"/>
      <c r="DC292" s="65"/>
      <c r="DD292" s="65"/>
      <c r="DE292" s="65"/>
      <c r="DF292" s="65"/>
      <c r="DG292" s="65"/>
      <c r="DH292" s="65"/>
      <c r="DI292" s="65"/>
      <c r="DJ292" s="65"/>
      <c r="DK292" s="65"/>
      <c r="DL292" s="65"/>
      <c r="DM292" s="65"/>
      <c r="DN292" s="65"/>
      <c r="DO292" s="65"/>
      <c r="DP292" s="65"/>
      <c r="DQ292" s="65"/>
      <c r="DR292" s="65"/>
      <c r="DS292" s="65"/>
      <c r="DT292" s="65"/>
      <c r="DU292" s="65"/>
      <c r="DV292" s="65"/>
      <c r="DW292" s="65"/>
      <c r="DX292" s="65"/>
      <c r="DY292" s="65"/>
      <c r="DZ292" s="65"/>
      <c r="EA292" s="65"/>
      <c r="EB292" s="65"/>
      <c r="EC292" s="65"/>
      <c r="ED292" s="65"/>
      <c r="EE292" s="65"/>
      <c r="EF292" s="65"/>
      <c r="EG292" s="65"/>
      <c r="EH292" s="65"/>
      <c r="EI292" s="65"/>
      <c r="EJ292" s="65"/>
      <c r="EK292" s="65"/>
      <c r="EL292" s="65"/>
      <c r="EM292" s="65"/>
      <c r="EN292" s="65"/>
      <c r="EO292" s="65"/>
      <c r="EP292" s="65"/>
      <c r="EQ292" s="65"/>
      <c r="ER292" s="65"/>
      <c r="ES292" s="65"/>
      <c r="ET292" s="65"/>
      <c r="EU292" s="65"/>
      <c r="EV292" s="65"/>
      <c r="EW292" s="65"/>
      <c r="EX292" s="65"/>
      <c r="EY292" s="65"/>
      <c r="EZ292" s="65"/>
      <c r="FA292" s="65"/>
      <c r="FB292" s="65"/>
      <c r="FC292" s="65"/>
      <c r="FD292" s="65"/>
      <c r="FE292" s="65"/>
      <c r="FF292" s="65"/>
      <c r="FG292" s="65"/>
      <c r="FH292" s="65"/>
      <c r="FI292" s="65"/>
      <c r="FJ292" s="65"/>
      <c r="FK292" s="65"/>
      <c r="FL292" s="65"/>
      <c r="FM292" s="65"/>
      <c r="FN292" s="65"/>
      <c r="FO292" s="65"/>
      <c r="FP292" s="65"/>
      <c r="FQ292" s="65"/>
      <c r="FR292" s="65"/>
      <c r="FS292" s="65"/>
      <c r="FT292" s="65"/>
      <c r="FU292" s="65"/>
    </row>
    <row r="293" spans="10:177" s="1" customFormat="1"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  <c r="Z293" s="65"/>
      <c r="AA293" s="65"/>
      <c r="AB293" s="65"/>
      <c r="AC293" s="65"/>
      <c r="AD293" s="65"/>
      <c r="AE293" s="65"/>
      <c r="AF293" s="65"/>
      <c r="AG293" s="65"/>
      <c r="AH293" s="65"/>
      <c r="AI293" s="65"/>
      <c r="AJ293" s="65"/>
      <c r="AK293" s="65"/>
      <c r="AL293" s="65"/>
      <c r="AM293" s="65"/>
      <c r="AN293" s="65"/>
      <c r="AO293" s="65"/>
      <c r="AP293" s="65"/>
      <c r="AQ293" s="65"/>
      <c r="AR293" s="65"/>
      <c r="AS293" s="65"/>
      <c r="AT293" s="65"/>
      <c r="AU293" s="65"/>
      <c r="AV293" s="65"/>
      <c r="AW293" s="65"/>
      <c r="AX293" s="65"/>
      <c r="AY293" s="65"/>
      <c r="AZ293" s="65"/>
      <c r="BA293" s="65"/>
      <c r="BB293" s="65"/>
      <c r="BC293" s="65"/>
      <c r="BD293" s="65"/>
      <c r="BE293" s="65"/>
      <c r="BF293" s="65"/>
      <c r="BG293" s="65"/>
      <c r="BH293" s="65"/>
      <c r="BI293" s="65"/>
      <c r="BJ293" s="65"/>
      <c r="BK293" s="65"/>
      <c r="BL293" s="65"/>
      <c r="BM293" s="65"/>
      <c r="BN293" s="65"/>
      <c r="BO293" s="65"/>
      <c r="BP293" s="65"/>
      <c r="BQ293" s="65"/>
      <c r="BR293" s="65"/>
      <c r="BS293" s="65"/>
      <c r="BT293" s="65"/>
      <c r="BU293" s="65"/>
      <c r="BV293" s="65"/>
      <c r="BW293" s="65"/>
      <c r="BX293" s="65"/>
      <c r="BY293" s="65"/>
      <c r="BZ293" s="65"/>
      <c r="CA293" s="65"/>
      <c r="CB293" s="65"/>
      <c r="CC293" s="65"/>
      <c r="CD293" s="65"/>
      <c r="CE293" s="65"/>
      <c r="CF293" s="65"/>
      <c r="CG293" s="65"/>
      <c r="CH293" s="65"/>
      <c r="CI293" s="65"/>
      <c r="CJ293" s="65"/>
      <c r="CK293" s="65"/>
      <c r="CL293" s="65"/>
      <c r="CM293" s="65"/>
      <c r="CN293" s="65"/>
      <c r="CO293" s="65"/>
      <c r="CP293" s="65"/>
      <c r="CQ293" s="65"/>
      <c r="CR293" s="65"/>
      <c r="CS293" s="65"/>
      <c r="CT293" s="65"/>
      <c r="CU293" s="65"/>
      <c r="CV293" s="65"/>
      <c r="CW293" s="65"/>
      <c r="CX293" s="65"/>
      <c r="CY293" s="65"/>
      <c r="CZ293" s="65"/>
      <c r="DA293" s="65"/>
      <c r="DB293" s="65"/>
      <c r="DC293" s="65"/>
      <c r="DD293" s="65"/>
      <c r="DE293" s="65"/>
      <c r="DF293" s="65"/>
      <c r="DG293" s="65"/>
      <c r="DH293" s="65"/>
      <c r="DI293" s="65"/>
      <c r="DJ293" s="65"/>
      <c r="DK293" s="65"/>
      <c r="DL293" s="65"/>
      <c r="DM293" s="65"/>
      <c r="DN293" s="65"/>
      <c r="DO293" s="65"/>
      <c r="DP293" s="65"/>
      <c r="DQ293" s="65"/>
      <c r="DR293" s="65"/>
      <c r="DS293" s="65"/>
      <c r="DT293" s="65"/>
      <c r="DU293" s="65"/>
      <c r="DV293" s="65"/>
      <c r="DW293" s="65"/>
      <c r="DX293" s="65"/>
      <c r="DY293" s="65"/>
      <c r="DZ293" s="65"/>
      <c r="EA293" s="65"/>
      <c r="EB293" s="65"/>
      <c r="EC293" s="65"/>
      <c r="ED293" s="65"/>
      <c r="EE293" s="65"/>
      <c r="EF293" s="65"/>
      <c r="EG293" s="65"/>
      <c r="EH293" s="65"/>
      <c r="EI293" s="65"/>
      <c r="EJ293" s="65"/>
      <c r="EK293" s="65"/>
      <c r="EL293" s="65"/>
      <c r="EM293" s="65"/>
      <c r="EN293" s="65"/>
      <c r="EO293" s="65"/>
      <c r="EP293" s="65"/>
      <c r="EQ293" s="65"/>
      <c r="ER293" s="65"/>
      <c r="ES293" s="65"/>
      <c r="ET293" s="65"/>
      <c r="EU293" s="65"/>
      <c r="EV293" s="65"/>
      <c r="EW293" s="65"/>
      <c r="EX293" s="65"/>
      <c r="EY293" s="65"/>
      <c r="EZ293" s="65"/>
      <c r="FA293" s="65"/>
      <c r="FB293" s="65"/>
      <c r="FC293" s="65"/>
      <c r="FD293" s="65"/>
      <c r="FE293" s="65"/>
      <c r="FF293" s="65"/>
      <c r="FG293" s="65"/>
      <c r="FH293" s="65"/>
      <c r="FI293" s="65"/>
      <c r="FJ293" s="65"/>
      <c r="FK293" s="65"/>
      <c r="FL293" s="65"/>
      <c r="FM293" s="65"/>
      <c r="FN293" s="65"/>
      <c r="FO293" s="65"/>
      <c r="FP293" s="65"/>
      <c r="FQ293" s="65"/>
      <c r="FR293" s="65"/>
      <c r="FS293" s="65"/>
      <c r="FT293" s="65"/>
      <c r="FU293" s="65"/>
    </row>
    <row r="294" spans="10:177" s="1" customFormat="1"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/>
      <c r="Z294" s="65"/>
      <c r="AA294" s="65"/>
      <c r="AB294" s="65"/>
      <c r="AC294" s="65"/>
      <c r="AD294" s="65"/>
      <c r="AE294" s="65"/>
      <c r="AF294" s="65"/>
      <c r="AG294" s="65"/>
      <c r="AH294" s="65"/>
      <c r="AI294" s="65"/>
      <c r="AJ294" s="65"/>
      <c r="AK294" s="65"/>
      <c r="AL294" s="65"/>
      <c r="AM294" s="65"/>
      <c r="AN294" s="65"/>
      <c r="AO294" s="65"/>
      <c r="AP294" s="65"/>
      <c r="AQ294" s="65"/>
      <c r="AR294" s="65"/>
      <c r="AS294" s="65"/>
      <c r="AT294" s="65"/>
      <c r="AU294" s="65"/>
      <c r="AV294" s="65"/>
      <c r="AW294" s="65"/>
      <c r="AX294" s="65"/>
      <c r="AY294" s="65"/>
      <c r="AZ294" s="65"/>
      <c r="BA294" s="65"/>
      <c r="BB294" s="65"/>
      <c r="BC294" s="65"/>
      <c r="BD294" s="65"/>
      <c r="BE294" s="65"/>
      <c r="BF294" s="65"/>
      <c r="BG294" s="65"/>
      <c r="BH294" s="65"/>
      <c r="BI294" s="65"/>
      <c r="BJ294" s="65"/>
      <c r="BK294" s="65"/>
      <c r="BL294" s="65"/>
      <c r="BM294" s="65"/>
      <c r="BN294" s="65"/>
      <c r="BO294" s="65"/>
      <c r="BP294" s="65"/>
      <c r="BQ294" s="65"/>
      <c r="BR294" s="65"/>
      <c r="BS294" s="65"/>
      <c r="BT294" s="65"/>
      <c r="BU294" s="65"/>
      <c r="BV294" s="65"/>
      <c r="BW294" s="65"/>
      <c r="BX294" s="65"/>
      <c r="BY294" s="65"/>
      <c r="BZ294" s="65"/>
      <c r="CA294" s="65"/>
      <c r="CB294" s="65"/>
      <c r="CC294" s="65"/>
      <c r="CD294" s="65"/>
      <c r="CE294" s="65"/>
      <c r="CF294" s="65"/>
      <c r="CG294" s="65"/>
      <c r="CH294" s="65"/>
      <c r="CI294" s="65"/>
      <c r="CJ294" s="65"/>
      <c r="CK294" s="65"/>
      <c r="CL294" s="65"/>
      <c r="CM294" s="65"/>
      <c r="CN294" s="65"/>
      <c r="CO294" s="65"/>
      <c r="CP294" s="65"/>
      <c r="CQ294" s="65"/>
      <c r="CR294" s="65"/>
      <c r="CS294" s="65"/>
      <c r="CT294" s="65"/>
      <c r="CU294" s="65"/>
      <c r="CV294" s="65"/>
      <c r="CW294" s="65"/>
      <c r="CX294" s="65"/>
      <c r="CY294" s="65"/>
      <c r="CZ294" s="65"/>
      <c r="DA294" s="65"/>
      <c r="DB294" s="65"/>
      <c r="DC294" s="65"/>
      <c r="DD294" s="65"/>
      <c r="DE294" s="65"/>
      <c r="DF294" s="65"/>
      <c r="DG294" s="65"/>
      <c r="DH294" s="65"/>
      <c r="DI294" s="65"/>
      <c r="DJ294" s="65"/>
      <c r="DK294" s="65"/>
      <c r="DL294" s="65"/>
      <c r="DM294" s="65"/>
      <c r="DN294" s="65"/>
      <c r="DO294" s="65"/>
      <c r="DP294" s="65"/>
      <c r="DQ294" s="65"/>
      <c r="DR294" s="65"/>
      <c r="DS294" s="65"/>
      <c r="DT294" s="65"/>
      <c r="DU294" s="65"/>
      <c r="DV294" s="65"/>
      <c r="DW294" s="65"/>
      <c r="DX294" s="65"/>
      <c r="DY294" s="65"/>
      <c r="DZ294" s="65"/>
      <c r="EA294" s="65"/>
      <c r="EB294" s="65"/>
      <c r="EC294" s="65"/>
      <c r="ED294" s="65"/>
      <c r="EE294" s="65"/>
      <c r="EF294" s="65"/>
      <c r="EG294" s="65"/>
      <c r="EH294" s="65"/>
      <c r="EI294" s="65"/>
      <c r="EJ294" s="65"/>
      <c r="EK294" s="65"/>
      <c r="EL294" s="65"/>
      <c r="EM294" s="65"/>
      <c r="EN294" s="65"/>
      <c r="EO294" s="65"/>
      <c r="EP294" s="65"/>
      <c r="EQ294" s="65"/>
      <c r="ER294" s="65"/>
      <c r="ES294" s="65"/>
      <c r="ET294" s="65"/>
      <c r="EU294" s="65"/>
      <c r="EV294" s="65"/>
      <c r="EW294" s="65"/>
      <c r="EX294" s="65"/>
      <c r="EY294" s="65"/>
      <c r="EZ294" s="65"/>
      <c r="FA294" s="65"/>
      <c r="FB294" s="65"/>
      <c r="FC294" s="65"/>
      <c r="FD294" s="65"/>
      <c r="FE294" s="65"/>
      <c r="FF294" s="65"/>
      <c r="FG294" s="65"/>
      <c r="FH294" s="65"/>
      <c r="FI294" s="65"/>
      <c r="FJ294" s="65"/>
      <c r="FK294" s="65"/>
      <c r="FL294" s="65"/>
      <c r="FM294" s="65"/>
      <c r="FN294" s="65"/>
      <c r="FO294" s="65"/>
      <c r="FP294" s="65"/>
      <c r="FQ294" s="65"/>
      <c r="FR294" s="65"/>
      <c r="FS294" s="65"/>
      <c r="FT294" s="65"/>
      <c r="FU294" s="65"/>
    </row>
    <row r="295" spans="10:177" s="1" customFormat="1"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65"/>
      <c r="Z295" s="65"/>
      <c r="AA295" s="65"/>
      <c r="AB295" s="65"/>
      <c r="AC295" s="65"/>
      <c r="AD295" s="65"/>
      <c r="AE295" s="65"/>
      <c r="AF295" s="65"/>
      <c r="AG295" s="65"/>
      <c r="AH295" s="65"/>
      <c r="AI295" s="65"/>
      <c r="AJ295" s="65"/>
      <c r="AK295" s="65"/>
      <c r="AL295" s="65"/>
      <c r="AM295" s="65"/>
      <c r="AN295" s="65"/>
      <c r="AO295" s="65"/>
      <c r="AP295" s="65"/>
      <c r="AQ295" s="65"/>
      <c r="AR295" s="65"/>
      <c r="AS295" s="65"/>
      <c r="AT295" s="65"/>
      <c r="AU295" s="65"/>
      <c r="AV295" s="65"/>
      <c r="AW295" s="65"/>
      <c r="AX295" s="65"/>
      <c r="AY295" s="65"/>
      <c r="AZ295" s="65"/>
      <c r="BA295" s="65"/>
      <c r="BB295" s="65"/>
      <c r="BC295" s="65"/>
      <c r="BD295" s="65"/>
      <c r="BE295" s="65"/>
      <c r="BF295" s="65"/>
      <c r="BG295" s="65"/>
      <c r="BH295" s="65"/>
      <c r="BI295" s="65"/>
      <c r="BJ295" s="65"/>
      <c r="BK295" s="65"/>
      <c r="BL295" s="65"/>
      <c r="BM295" s="65"/>
      <c r="BN295" s="65"/>
      <c r="BO295" s="65"/>
      <c r="BP295" s="65"/>
      <c r="BQ295" s="65"/>
      <c r="BR295" s="65"/>
      <c r="BS295" s="65"/>
      <c r="BT295" s="65"/>
      <c r="BU295" s="65"/>
      <c r="BV295" s="65"/>
      <c r="BW295" s="65"/>
      <c r="BX295" s="65"/>
      <c r="BY295" s="65"/>
      <c r="BZ295" s="65"/>
      <c r="CA295" s="65"/>
      <c r="CB295" s="65"/>
      <c r="CC295" s="65"/>
      <c r="CD295" s="65"/>
      <c r="CE295" s="65"/>
      <c r="CF295" s="65"/>
      <c r="CG295" s="65"/>
      <c r="CH295" s="65"/>
      <c r="CI295" s="65"/>
      <c r="CJ295" s="65"/>
      <c r="CK295" s="65"/>
      <c r="CL295" s="65"/>
      <c r="CM295" s="65"/>
      <c r="CN295" s="65"/>
      <c r="CO295" s="65"/>
      <c r="CP295" s="65"/>
      <c r="CQ295" s="65"/>
      <c r="CR295" s="65"/>
      <c r="CS295" s="65"/>
      <c r="CT295" s="65"/>
      <c r="CU295" s="65"/>
      <c r="CV295" s="65"/>
      <c r="CW295" s="65"/>
      <c r="CX295" s="65"/>
      <c r="CY295" s="65"/>
      <c r="CZ295" s="65"/>
      <c r="DA295" s="65"/>
      <c r="DB295" s="65"/>
      <c r="DC295" s="65"/>
      <c r="DD295" s="65"/>
      <c r="DE295" s="65"/>
      <c r="DF295" s="65"/>
      <c r="DG295" s="65"/>
      <c r="DH295" s="65"/>
      <c r="DI295" s="65"/>
      <c r="DJ295" s="65"/>
      <c r="DK295" s="65"/>
      <c r="DL295" s="65"/>
      <c r="DM295" s="65"/>
      <c r="DN295" s="65"/>
      <c r="DO295" s="65"/>
      <c r="DP295" s="65"/>
      <c r="DQ295" s="65"/>
      <c r="DR295" s="65"/>
      <c r="DS295" s="65"/>
      <c r="DT295" s="65"/>
      <c r="DU295" s="65"/>
      <c r="DV295" s="65"/>
      <c r="DW295" s="65"/>
      <c r="DX295" s="65"/>
      <c r="DY295" s="65"/>
      <c r="DZ295" s="65"/>
      <c r="EA295" s="65"/>
      <c r="EB295" s="65"/>
      <c r="EC295" s="65"/>
      <c r="ED295" s="65"/>
      <c r="EE295" s="65"/>
      <c r="EF295" s="65"/>
      <c r="EG295" s="65"/>
      <c r="EH295" s="65"/>
      <c r="EI295" s="65"/>
      <c r="EJ295" s="65"/>
      <c r="EK295" s="65"/>
      <c r="EL295" s="65"/>
      <c r="EM295" s="65"/>
      <c r="EN295" s="65"/>
      <c r="EO295" s="65"/>
      <c r="EP295" s="65"/>
      <c r="EQ295" s="65"/>
      <c r="ER295" s="65"/>
      <c r="ES295" s="65"/>
      <c r="ET295" s="65"/>
      <c r="EU295" s="65"/>
      <c r="EV295" s="65"/>
      <c r="EW295" s="65"/>
      <c r="EX295" s="65"/>
      <c r="EY295" s="65"/>
      <c r="EZ295" s="65"/>
      <c r="FA295" s="65"/>
      <c r="FB295" s="65"/>
      <c r="FC295" s="65"/>
      <c r="FD295" s="65"/>
      <c r="FE295" s="65"/>
      <c r="FF295" s="65"/>
      <c r="FG295" s="65"/>
      <c r="FH295" s="65"/>
      <c r="FI295" s="65"/>
      <c r="FJ295" s="65"/>
      <c r="FK295" s="65"/>
      <c r="FL295" s="65"/>
      <c r="FM295" s="65"/>
      <c r="FN295" s="65"/>
      <c r="FO295" s="65"/>
      <c r="FP295" s="65"/>
      <c r="FQ295" s="65"/>
      <c r="FR295" s="65"/>
      <c r="FS295" s="65"/>
      <c r="FT295" s="65"/>
      <c r="FU295" s="65"/>
    </row>
    <row r="296" spans="10:177" s="1" customFormat="1">
      <c r="J296" s="65"/>
      <c r="K296" s="65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65"/>
      <c r="Z296" s="65"/>
      <c r="AA296" s="65"/>
      <c r="AB296" s="65"/>
      <c r="AC296" s="65"/>
      <c r="AD296" s="65"/>
      <c r="AE296" s="65"/>
      <c r="AF296" s="65"/>
      <c r="AG296" s="65"/>
      <c r="AH296" s="65"/>
      <c r="AI296" s="65"/>
      <c r="AJ296" s="65"/>
      <c r="AK296" s="65"/>
      <c r="AL296" s="65"/>
      <c r="AM296" s="65"/>
      <c r="AN296" s="65"/>
      <c r="AO296" s="65"/>
      <c r="AP296" s="65"/>
      <c r="AQ296" s="65"/>
      <c r="AR296" s="65"/>
      <c r="AS296" s="65"/>
      <c r="AT296" s="65"/>
      <c r="AU296" s="65"/>
      <c r="AV296" s="65"/>
      <c r="AW296" s="65"/>
      <c r="AX296" s="65"/>
      <c r="AY296" s="65"/>
      <c r="AZ296" s="65"/>
      <c r="BA296" s="65"/>
      <c r="BB296" s="65"/>
      <c r="BC296" s="65"/>
      <c r="BD296" s="65"/>
      <c r="BE296" s="65"/>
      <c r="BF296" s="65"/>
      <c r="BG296" s="65"/>
      <c r="BH296" s="65"/>
      <c r="BI296" s="65"/>
      <c r="BJ296" s="65"/>
      <c r="BK296" s="65"/>
      <c r="BL296" s="65"/>
      <c r="BM296" s="65"/>
      <c r="BN296" s="65"/>
      <c r="BO296" s="65"/>
      <c r="BP296" s="65"/>
      <c r="BQ296" s="65"/>
      <c r="BR296" s="65"/>
      <c r="BS296" s="65"/>
      <c r="BT296" s="65"/>
      <c r="BU296" s="65"/>
      <c r="BV296" s="65"/>
      <c r="BW296" s="65"/>
      <c r="BX296" s="65"/>
      <c r="BY296" s="65"/>
      <c r="BZ296" s="65"/>
      <c r="CA296" s="65"/>
      <c r="CB296" s="65"/>
      <c r="CC296" s="65"/>
      <c r="CD296" s="65"/>
      <c r="CE296" s="65"/>
      <c r="CF296" s="65"/>
      <c r="CG296" s="65"/>
      <c r="CH296" s="65"/>
      <c r="CI296" s="65"/>
      <c r="CJ296" s="65"/>
      <c r="CK296" s="65"/>
      <c r="CL296" s="65"/>
      <c r="CM296" s="65"/>
      <c r="CN296" s="65"/>
      <c r="CO296" s="65"/>
      <c r="CP296" s="65"/>
      <c r="CQ296" s="65"/>
      <c r="CR296" s="65"/>
      <c r="CS296" s="65"/>
      <c r="CT296" s="65"/>
      <c r="CU296" s="65"/>
      <c r="CV296" s="65"/>
      <c r="CW296" s="65"/>
      <c r="CX296" s="65"/>
      <c r="CY296" s="65"/>
      <c r="CZ296" s="65"/>
      <c r="DA296" s="65"/>
      <c r="DB296" s="65"/>
      <c r="DC296" s="65"/>
      <c r="DD296" s="65"/>
      <c r="DE296" s="65"/>
      <c r="DF296" s="65"/>
      <c r="DG296" s="65"/>
      <c r="DH296" s="65"/>
      <c r="DI296" s="65"/>
      <c r="DJ296" s="65"/>
      <c r="DK296" s="65"/>
      <c r="DL296" s="65"/>
      <c r="DM296" s="65"/>
      <c r="DN296" s="65"/>
      <c r="DO296" s="65"/>
      <c r="DP296" s="65"/>
      <c r="DQ296" s="65"/>
      <c r="DR296" s="65"/>
      <c r="DS296" s="65"/>
      <c r="DT296" s="65"/>
      <c r="DU296" s="65"/>
      <c r="DV296" s="65"/>
      <c r="DW296" s="65"/>
      <c r="DX296" s="65"/>
      <c r="DY296" s="65"/>
      <c r="DZ296" s="65"/>
      <c r="EA296" s="65"/>
      <c r="EB296" s="65"/>
      <c r="EC296" s="65"/>
      <c r="ED296" s="65"/>
      <c r="EE296" s="65"/>
      <c r="EF296" s="65"/>
      <c r="EG296" s="65"/>
      <c r="EH296" s="65"/>
      <c r="EI296" s="65"/>
      <c r="EJ296" s="65"/>
      <c r="EK296" s="65"/>
      <c r="EL296" s="65"/>
      <c r="EM296" s="65"/>
      <c r="EN296" s="65"/>
      <c r="EO296" s="65"/>
      <c r="EP296" s="65"/>
      <c r="EQ296" s="65"/>
      <c r="ER296" s="65"/>
      <c r="ES296" s="65"/>
      <c r="ET296" s="65"/>
      <c r="EU296" s="65"/>
      <c r="EV296" s="65"/>
      <c r="EW296" s="65"/>
      <c r="EX296" s="65"/>
      <c r="EY296" s="65"/>
      <c r="EZ296" s="65"/>
      <c r="FA296" s="65"/>
      <c r="FB296" s="65"/>
      <c r="FC296" s="65"/>
      <c r="FD296" s="65"/>
      <c r="FE296" s="65"/>
      <c r="FF296" s="65"/>
      <c r="FG296" s="65"/>
      <c r="FH296" s="65"/>
      <c r="FI296" s="65"/>
      <c r="FJ296" s="65"/>
      <c r="FK296" s="65"/>
      <c r="FL296" s="65"/>
      <c r="FM296" s="65"/>
      <c r="FN296" s="65"/>
      <c r="FO296" s="65"/>
      <c r="FP296" s="65"/>
      <c r="FQ296" s="65"/>
      <c r="FR296" s="65"/>
      <c r="FS296" s="65"/>
      <c r="FT296" s="65"/>
      <c r="FU296" s="65"/>
    </row>
    <row r="297" spans="10:177" s="1" customFormat="1">
      <c r="J297" s="65"/>
      <c r="K297" s="65"/>
      <c r="L297" s="65"/>
      <c r="M297" s="65"/>
      <c r="N297" s="65"/>
      <c r="O297" s="65"/>
      <c r="P297" s="65"/>
      <c r="Q297" s="65"/>
      <c r="R297" s="65"/>
      <c r="S297" s="65"/>
      <c r="T297" s="65"/>
      <c r="U297" s="65"/>
      <c r="V297" s="65"/>
      <c r="W297" s="65"/>
      <c r="X297" s="65"/>
      <c r="Y297" s="65"/>
      <c r="Z297" s="65"/>
      <c r="AA297" s="65"/>
      <c r="AB297" s="65"/>
      <c r="AC297" s="65"/>
      <c r="AD297" s="65"/>
      <c r="AE297" s="65"/>
      <c r="AF297" s="65"/>
      <c r="AG297" s="65"/>
      <c r="AH297" s="65"/>
      <c r="AI297" s="65"/>
      <c r="AJ297" s="65"/>
      <c r="AK297" s="65"/>
      <c r="AL297" s="65"/>
      <c r="AM297" s="65"/>
      <c r="AN297" s="65"/>
      <c r="AO297" s="65"/>
      <c r="AP297" s="65"/>
      <c r="AQ297" s="65"/>
      <c r="AR297" s="65"/>
      <c r="AS297" s="65"/>
      <c r="AT297" s="65"/>
      <c r="AU297" s="65"/>
      <c r="AV297" s="65"/>
      <c r="AW297" s="65"/>
      <c r="AX297" s="65"/>
      <c r="AY297" s="65"/>
      <c r="AZ297" s="65"/>
      <c r="BA297" s="65"/>
      <c r="BB297" s="65"/>
      <c r="BC297" s="65"/>
      <c r="BD297" s="65"/>
      <c r="BE297" s="65"/>
      <c r="BF297" s="65"/>
      <c r="BG297" s="65"/>
      <c r="BH297" s="65"/>
      <c r="BI297" s="65"/>
      <c r="BJ297" s="65"/>
      <c r="BK297" s="65"/>
      <c r="BL297" s="65"/>
      <c r="BM297" s="65"/>
      <c r="BN297" s="65"/>
      <c r="BO297" s="65"/>
      <c r="BP297" s="65"/>
      <c r="BQ297" s="65"/>
      <c r="BR297" s="65"/>
      <c r="BS297" s="65"/>
      <c r="BT297" s="65"/>
      <c r="BU297" s="65"/>
      <c r="BV297" s="65"/>
      <c r="BW297" s="65"/>
      <c r="BX297" s="65"/>
      <c r="BY297" s="65"/>
      <c r="BZ297" s="65"/>
      <c r="CA297" s="65"/>
      <c r="CB297" s="65"/>
      <c r="CC297" s="65"/>
      <c r="CD297" s="65"/>
      <c r="CE297" s="65"/>
      <c r="CF297" s="65"/>
      <c r="CG297" s="65"/>
      <c r="CH297" s="65"/>
      <c r="CI297" s="65"/>
      <c r="CJ297" s="65"/>
      <c r="CK297" s="65"/>
      <c r="CL297" s="65"/>
      <c r="CM297" s="65"/>
      <c r="CN297" s="65"/>
      <c r="CO297" s="65"/>
      <c r="CP297" s="65"/>
      <c r="CQ297" s="65"/>
      <c r="CR297" s="65"/>
      <c r="CS297" s="65"/>
      <c r="CT297" s="65"/>
      <c r="CU297" s="65"/>
      <c r="CV297" s="65"/>
      <c r="CW297" s="65"/>
      <c r="CX297" s="65"/>
      <c r="CY297" s="65"/>
      <c r="CZ297" s="65"/>
      <c r="DA297" s="65"/>
      <c r="DB297" s="65"/>
      <c r="DC297" s="65"/>
      <c r="DD297" s="65"/>
      <c r="DE297" s="65"/>
      <c r="DF297" s="65"/>
      <c r="DG297" s="65"/>
      <c r="DH297" s="65"/>
      <c r="DI297" s="65"/>
      <c r="DJ297" s="65"/>
      <c r="DK297" s="65"/>
      <c r="DL297" s="65"/>
      <c r="DM297" s="65"/>
      <c r="DN297" s="65"/>
      <c r="DO297" s="65"/>
      <c r="DP297" s="65"/>
      <c r="DQ297" s="65"/>
      <c r="DR297" s="65"/>
      <c r="DS297" s="65"/>
      <c r="DT297" s="65"/>
      <c r="DU297" s="65"/>
      <c r="DV297" s="65"/>
      <c r="DW297" s="65"/>
      <c r="DX297" s="65"/>
      <c r="DY297" s="65"/>
      <c r="DZ297" s="65"/>
      <c r="EA297" s="65"/>
      <c r="EB297" s="65"/>
      <c r="EC297" s="65"/>
      <c r="ED297" s="65"/>
      <c r="EE297" s="65"/>
      <c r="EF297" s="65"/>
      <c r="EG297" s="65"/>
      <c r="EH297" s="65"/>
      <c r="EI297" s="65"/>
      <c r="EJ297" s="65"/>
      <c r="EK297" s="65"/>
      <c r="EL297" s="65"/>
      <c r="EM297" s="65"/>
      <c r="EN297" s="65"/>
      <c r="EO297" s="65"/>
      <c r="EP297" s="65"/>
      <c r="EQ297" s="65"/>
      <c r="ER297" s="65"/>
      <c r="ES297" s="65"/>
      <c r="ET297" s="65"/>
      <c r="EU297" s="65"/>
      <c r="EV297" s="65"/>
      <c r="EW297" s="65"/>
      <c r="EX297" s="65"/>
      <c r="EY297" s="65"/>
      <c r="EZ297" s="65"/>
      <c r="FA297" s="65"/>
      <c r="FB297" s="65"/>
      <c r="FC297" s="65"/>
      <c r="FD297" s="65"/>
      <c r="FE297" s="65"/>
      <c r="FF297" s="65"/>
      <c r="FG297" s="65"/>
      <c r="FH297" s="65"/>
      <c r="FI297" s="65"/>
      <c r="FJ297" s="65"/>
      <c r="FK297" s="65"/>
      <c r="FL297" s="65"/>
      <c r="FM297" s="65"/>
      <c r="FN297" s="65"/>
      <c r="FO297" s="65"/>
      <c r="FP297" s="65"/>
      <c r="FQ297" s="65"/>
      <c r="FR297" s="65"/>
      <c r="FS297" s="65"/>
      <c r="FT297" s="65"/>
      <c r="FU297" s="65"/>
    </row>
    <row r="298" spans="10:177" s="1" customFormat="1">
      <c r="J298" s="65"/>
      <c r="K298" s="65"/>
      <c r="L298" s="65"/>
      <c r="M298" s="65"/>
      <c r="N298" s="65"/>
      <c r="O298" s="65"/>
      <c r="P298" s="65"/>
      <c r="Q298" s="65"/>
      <c r="R298" s="65"/>
      <c r="S298" s="65"/>
      <c r="T298" s="65"/>
      <c r="U298" s="65"/>
      <c r="V298" s="65"/>
      <c r="W298" s="65"/>
      <c r="X298" s="65"/>
      <c r="Y298" s="65"/>
      <c r="Z298" s="65"/>
      <c r="AA298" s="65"/>
      <c r="AB298" s="65"/>
      <c r="AC298" s="65"/>
      <c r="AD298" s="65"/>
      <c r="AE298" s="65"/>
      <c r="AF298" s="65"/>
      <c r="AG298" s="65"/>
      <c r="AH298" s="65"/>
      <c r="AI298" s="65"/>
      <c r="AJ298" s="65"/>
      <c r="AK298" s="65"/>
      <c r="AL298" s="65"/>
      <c r="AM298" s="65"/>
      <c r="AN298" s="65"/>
      <c r="AO298" s="65"/>
      <c r="AP298" s="65"/>
      <c r="AQ298" s="65"/>
      <c r="AR298" s="65"/>
      <c r="AS298" s="65"/>
      <c r="AT298" s="65"/>
      <c r="AU298" s="65"/>
      <c r="AV298" s="65"/>
      <c r="AW298" s="65"/>
      <c r="AX298" s="65"/>
      <c r="AY298" s="65"/>
      <c r="AZ298" s="65"/>
      <c r="BA298" s="65"/>
      <c r="BB298" s="65"/>
      <c r="BC298" s="65"/>
      <c r="BD298" s="65"/>
      <c r="BE298" s="65"/>
      <c r="BF298" s="65"/>
      <c r="BG298" s="65"/>
      <c r="BH298" s="65"/>
      <c r="BI298" s="65"/>
      <c r="BJ298" s="65"/>
      <c r="BK298" s="65"/>
      <c r="BL298" s="65"/>
      <c r="BM298" s="65"/>
      <c r="BN298" s="65"/>
      <c r="BO298" s="65"/>
      <c r="BP298" s="65"/>
      <c r="BQ298" s="65"/>
      <c r="BR298" s="65"/>
      <c r="BS298" s="65"/>
      <c r="BT298" s="65"/>
      <c r="BU298" s="65"/>
      <c r="BV298" s="65"/>
      <c r="BW298" s="65"/>
      <c r="BX298" s="65"/>
      <c r="BY298" s="65"/>
      <c r="BZ298" s="65"/>
      <c r="CA298" s="65"/>
      <c r="CB298" s="65"/>
      <c r="CC298" s="65"/>
      <c r="CD298" s="65"/>
      <c r="CE298" s="65"/>
      <c r="CF298" s="65"/>
      <c r="CG298" s="65"/>
      <c r="CH298" s="65"/>
      <c r="CI298" s="65"/>
      <c r="CJ298" s="65"/>
      <c r="CK298" s="65"/>
      <c r="CL298" s="65"/>
      <c r="CM298" s="65"/>
      <c r="CN298" s="65"/>
      <c r="CO298" s="65"/>
      <c r="CP298" s="65"/>
      <c r="CQ298" s="65"/>
      <c r="CR298" s="65"/>
      <c r="CS298" s="65"/>
      <c r="CT298" s="65"/>
      <c r="CU298" s="65"/>
      <c r="CV298" s="65"/>
      <c r="CW298" s="65"/>
      <c r="CX298" s="65"/>
      <c r="CY298" s="65"/>
      <c r="CZ298" s="65"/>
      <c r="DA298" s="65"/>
      <c r="DB298" s="65"/>
      <c r="DC298" s="65"/>
      <c r="DD298" s="65"/>
      <c r="DE298" s="65"/>
      <c r="DF298" s="65"/>
      <c r="DG298" s="65"/>
      <c r="DH298" s="65"/>
      <c r="DI298" s="65"/>
      <c r="DJ298" s="65"/>
      <c r="DK298" s="65"/>
      <c r="DL298" s="65"/>
      <c r="DM298" s="65"/>
      <c r="DN298" s="65"/>
      <c r="DO298" s="65"/>
      <c r="DP298" s="65"/>
      <c r="DQ298" s="65"/>
      <c r="DR298" s="65"/>
      <c r="DS298" s="65"/>
      <c r="DT298" s="65"/>
      <c r="DU298" s="65"/>
      <c r="DV298" s="65"/>
      <c r="DW298" s="65"/>
      <c r="DX298" s="65"/>
      <c r="DY298" s="65"/>
      <c r="DZ298" s="65"/>
      <c r="EA298" s="65"/>
      <c r="EB298" s="65"/>
      <c r="EC298" s="65"/>
      <c r="ED298" s="65"/>
      <c r="EE298" s="65"/>
      <c r="EF298" s="65"/>
      <c r="EG298" s="65"/>
      <c r="EH298" s="65"/>
      <c r="EI298" s="65"/>
      <c r="EJ298" s="65"/>
      <c r="EK298" s="65"/>
      <c r="EL298" s="65"/>
      <c r="EM298" s="65"/>
      <c r="EN298" s="65"/>
      <c r="EO298" s="65"/>
      <c r="EP298" s="65"/>
      <c r="EQ298" s="65"/>
      <c r="ER298" s="65"/>
      <c r="ES298" s="65"/>
      <c r="ET298" s="65"/>
      <c r="EU298" s="65"/>
      <c r="EV298" s="65"/>
      <c r="EW298" s="65"/>
      <c r="EX298" s="65"/>
      <c r="EY298" s="65"/>
      <c r="EZ298" s="65"/>
      <c r="FA298" s="65"/>
      <c r="FB298" s="65"/>
      <c r="FC298" s="65"/>
      <c r="FD298" s="65"/>
      <c r="FE298" s="65"/>
      <c r="FF298" s="65"/>
      <c r="FG298" s="65"/>
      <c r="FH298" s="65"/>
      <c r="FI298" s="65"/>
      <c r="FJ298" s="65"/>
      <c r="FK298" s="65"/>
      <c r="FL298" s="65"/>
      <c r="FM298" s="65"/>
      <c r="FN298" s="65"/>
      <c r="FO298" s="65"/>
      <c r="FP298" s="65"/>
      <c r="FQ298" s="65"/>
      <c r="FR298" s="65"/>
      <c r="FS298" s="65"/>
      <c r="FT298" s="65"/>
      <c r="FU298" s="65"/>
    </row>
    <row r="299" spans="10:177" s="1" customFormat="1">
      <c r="J299" s="65"/>
      <c r="K299" s="65"/>
      <c r="L299" s="65"/>
      <c r="M299" s="65"/>
      <c r="N299" s="65"/>
      <c r="O299" s="65"/>
      <c r="P299" s="65"/>
      <c r="Q299" s="65"/>
      <c r="R299" s="65"/>
      <c r="S299" s="65"/>
      <c r="T299" s="65"/>
      <c r="U299" s="65"/>
      <c r="V299" s="65"/>
      <c r="W299" s="65"/>
      <c r="X299" s="65"/>
      <c r="Y299" s="65"/>
      <c r="Z299" s="65"/>
      <c r="AA299" s="65"/>
      <c r="AB299" s="65"/>
      <c r="AC299" s="65"/>
      <c r="AD299" s="65"/>
      <c r="AE299" s="65"/>
      <c r="AF299" s="65"/>
      <c r="AG299" s="65"/>
      <c r="AH299" s="65"/>
      <c r="AI299" s="65"/>
      <c r="AJ299" s="65"/>
      <c r="AK299" s="65"/>
      <c r="AL299" s="65"/>
      <c r="AM299" s="65"/>
      <c r="AN299" s="65"/>
      <c r="AO299" s="65"/>
      <c r="AP299" s="65"/>
      <c r="AQ299" s="65"/>
      <c r="AR299" s="65"/>
      <c r="AS299" s="65"/>
      <c r="AT299" s="65"/>
      <c r="AU299" s="65"/>
      <c r="AV299" s="65"/>
      <c r="AW299" s="65"/>
      <c r="AX299" s="65"/>
      <c r="AY299" s="65"/>
      <c r="AZ299" s="65"/>
      <c r="BA299" s="65"/>
      <c r="BB299" s="65"/>
      <c r="BC299" s="65"/>
      <c r="BD299" s="65"/>
      <c r="BE299" s="65"/>
      <c r="BF299" s="65"/>
      <c r="BG299" s="65"/>
      <c r="BH299" s="65"/>
      <c r="BI299" s="65"/>
      <c r="BJ299" s="65"/>
      <c r="BK299" s="65"/>
      <c r="BL299" s="65"/>
      <c r="BM299" s="65"/>
      <c r="BN299" s="65"/>
      <c r="BO299" s="65"/>
      <c r="BP299" s="65"/>
      <c r="BQ299" s="65"/>
      <c r="BR299" s="65"/>
      <c r="BS299" s="65"/>
      <c r="BT299" s="65"/>
      <c r="BU299" s="65"/>
      <c r="BV299" s="65"/>
      <c r="BW299" s="65"/>
      <c r="BX299" s="65"/>
      <c r="BY299" s="65"/>
      <c r="BZ299" s="65"/>
      <c r="CA299" s="65"/>
      <c r="CB299" s="65"/>
      <c r="CC299" s="65"/>
      <c r="CD299" s="65"/>
      <c r="CE299" s="65"/>
      <c r="CF299" s="65"/>
      <c r="CG299" s="65"/>
      <c r="CH299" s="65"/>
      <c r="CI299" s="65"/>
      <c r="CJ299" s="65"/>
      <c r="CK299" s="65"/>
      <c r="CL299" s="65"/>
      <c r="CM299" s="65"/>
      <c r="CN299" s="65"/>
      <c r="CO299" s="65"/>
      <c r="CP299" s="65"/>
      <c r="CQ299" s="65"/>
      <c r="CR299" s="65"/>
      <c r="CS299" s="65"/>
      <c r="CT299" s="65"/>
      <c r="CU299" s="65"/>
      <c r="CV299" s="65"/>
      <c r="CW299" s="65"/>
      <c r="CX299" s="65"/>
      <c r="CY299" s="65"/>
      <c r="CZ299" s="65"/>
      <c r="DA299" s="65"/>
      <c r="DB299" s="65"/>
      <c r="DC299" s="65"/>
      <c r="DD299" s="65"/>
      <c r="DE299" s="65"/>
      <c r="DF299" s="65"/>
      <c r="DG299" s="65"/>
      <c r="DH299" s="65"/>
      <c r="DI299" s="65"/>
      <c r="DJ299" s="65"/>
      <c r="DK299" s="65"/>
      <c r="DL299" s="65"/>
      <c r="DM299" s="65"/>
      <c r="DN299" s="65"/>
      <c r="DO299" s="65"/>
      <c r="DP299" s="65"/>
      <c r="DQ299" s="65"/>
      <c r="DR299" s="65"/>
      <c r="DS299" s="65"/>
      <c r="DT299" s="65"/>
      <c r="DU299" s="65"/>
      <c r="DV299" s="65"/>
      <c r="DW299" s="65"/>
      <c r="DX299" s="65"/>
      <c r="DY299" s="65"/>
      <c r="DZ299" s="65"/>
      <c r="EA299" s="65"/>
      <c r="EB299" s="65"/>
      <c r="EC299" s="65"/>
      <c r="ED299" s="65"/>
      <c r="EE299" s="65"/>
      <c r="EF299" s="65"/>
      <c r="EG299" s="65"/>
      <c r="EH299" s="65"/>
      <c r="EI299" s="65"/>
      <c r="EJ299" s="65"/>
      <c r="EK299" s="65"/>
      <c r="EL299" s="65"/>
      <c r="EM299" s="65"/>
      <c r="EN299" s="65"/>
      <c r="EO299" s="65"/>
      <c r="EP299" s="65"/>
      <c r="EQ299" s="65"/>
      <c r="ER299" s="65"/>
      <c r="ES299" s="65"/>
      <c r="ET299" s="65"/>
      <c r="EU299" s="65"/>
      <c r="EV299" s="65"/>
      <c r="EW299" s="65"/>
      <c r="EX299" s="65"/>
      <c r="EY299" s="65"/>
      <c r="EZ299" s="65"/>
      <c r="FA299" s="65"/>
      <c r="FB299" s="65"/>
      <c r="FC299" s="65"/>
      <c r="FD299" s="65"/>
      <c r="FE299" s="65"/>
      <c r="FF299" s="65"/>
      <c r="FG299" s="65"/>
      <c r="FH299" s="65"/>
      <c r="FI299" s="65"/>
      <c r="FJ299" s="65"/>
      <c r="FK299" s="65"/>
      <c r="FL299" s="65"/>
      <c r="FM299" s="65"/>
      <c r="FN299" s="65"/>
      <c r="FO299" s="65"/>
      <c r="FP299" s="65"/>
      <c r="FQ299" s="65"/>
      <c r="FR299" s="65"/>
      <c r="FS299" s="65"/>
      <c r="FT299" s="65"/>
      <c r="FU299" s="65"/>
    </row>
  </sheetData>
  <mergeCells count="6">
    <mergeCell ref="A1:I1"/>
    <mergeCell ref="A2:I2"/>
    <mergeCell ref="A3:I3"/>
    <mergeCell ref="A109:I109"/>
    <mergeCell ref="A108:I108"/>
    <mergeCell ref="A107:I107"/>
  </mergeCells>
  <phoneticPr fontId="25" type="noConversion"/>
  <printOptions horizontalCentered="1"/>
  <pageMargins left="0.19685039370078741" right="0.19685039370078741" top="0.19685039370078741" bottom="0.19685039370078741" header="0.11811023622047245" footer="0.11811023622047245"/>
  <pageSetup paperSize="9" scale="50" orientation="landscape" horizontalDpi="300" verticalDpi="300" r:id="rId1"/>
  <headerFooter alignWithMargins="0"/>
  <rowBreaks count="2" manualBreakCount="2">
    <brk id="105" max="38" man="1"/>
    <brk id="109" max="16383" man="1"/>
  </rowBreaks>
  <colBreaks count="1" manualBreakCount="1">
    <brk id="3" max="153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selection activeCell="F23" sqref="F23"/>
    </sheetView>
  </sheetViews>
  <sheetFormatPr defaultRowHeight="12.75"/>
  <cols>
    <col min="1" max="1" width="50.140625" customWidth="1"/>
    <col min="2" max="2" width="15.42578125" customWidth="1"/>
    <col min="3" max="3" width="16.5703125" customWidth="1"/>
    <col min="4" max="4" width="17.85546875" customWidth="1"/>
    <col min="5" max="5" width="16.28515625" customWidth="1"/>
    <col min="6" max="6" width="15.28515625" customWidth="1"/>
  </cols>
  <sheetData>
    <row r="1" spans="1:6">
      <c r="A1" s="556" t="str">
        <f>Parâmetros!A7</f>
        <v>Município de : PORTÃO/RS</v>
      </c>
      <c r="B1" s="556"/>
      <c r="C1" s="556"/>
      <c r="D1" s="557"/>
      <c r="E1" s="557"/>
      <c r="F1" s="557"/>
    </row>
    <row r="2" spans="1:6">
      <c r="A2" s="558" t="str">
        <f>Parâmetros!A8</f>
        <v>LEI DE DIRETRIZES ORÇAMENTÁRIAS  PARA 2019</v>
      </c>
      <c r="B2" s="558"/>
      <c r="C2" s="558"/>
      <c r="D2" s="557"/>
      <c r="E2" s="557"/>
      <c r="F2" s="557"/>
    </row>
    <row r="3" spans="1:6">
      <c r="A3" s="559" t="s">
        <v>397</v>
      </c>
      <c r="B3" s="559"/>
      <c r="C3" s="559"/>
      <c r="D3" s="559"/>
      <c r="E3" s="559"/>
      <c r="F3" s="559"/>
    </row>
    <row r="4" spans="1:6">
      <c r="A4" s="560" t="s">
        <v>596</v>
      </c>
      <c r="B4" s="561"/>
      <c r="C4" s="561"/>
      <c r="D4" s="561"/>
      <c r="E4" s="561"/>
      <c r="F4" s="561"/>
    </row>
    <row r="5" spans="1:6">
      <c r="A5" s="299" t="s">
        <v>56</v>
      </c>
      <c r="B5" s="300">
        <v>2017</v>
      </c>
      <c r="C5" s="300">
        <f>B5+1</f>
        <v>2018</v>
      </c>
      <c r="D5" s="300">
        <f>C5+1</f>
        <v>2019</v>
      </c>
      <c r="E5" s="300">
        <f>D5+1</f>
        <v>2020</v>
      </c>
      <c r="F5" s="300">
        <f>E5+1</f>
        <v>2021</v>
      </c>
    </row>
    <row r="6" spans="1:6">
      <c r="A6" s="301" t="s">
        <v>398</v>
      </c>
      <c r="B6" s="302">
        <f>Projeções!E8</f>
        <v>92745686.410000011</v>
      </c>
      <c r="C6" s="302">
        <f>Projeções!F8</f>
        <v>92543650</v>
      </c>
      <c r="D6" s="302">
        <f>Projeções!G8</f>
        <v>93769023.681788176</v>
      </c>
      <c r="E6" s="302">
        <f>Projeções!H8</f>
        <v>96698865.895300314</v>
      </c>
      <c r="F6" s="302">
        <f>Projeções!I8</f>
        <v>100692757.20075823</v>
      </c>
    </row>
    <row r="7" spans="1:6">
      <c r="A7" s="303" t="s">
        <v>391</v>
      </c>
      <c r="B7" s="304">
        <f>B8+B9+B10+B11+B12</f>
        <v>24230540.5</v>
      </c>
      <c r="C7" s="304">
        <f>C8+C9+C10+C11+C12</f>
        <v>20464850</v>
      </c>
      <c r="D7" s="304">
        <f>D8+D9+D10+D11+D12</f>
        <v>21108865.507615045</v>
      </c>
      <c r="E7" s="304">
        <f>E8+E9+E10+E11+E12</f>
        <v>22141661.030860521</v>
      </c>
      <c r="F7" s="304">
        <f>F8+F9+F10+F11+F12</f>
        <v>23394158.050118845</v>
      </c>
    </row>
    <row r="8" spans="1:6">
      <c r="A8" s="305" t="s">
        <v>392</v>
      </c>
      <c r="B8" s="306">
        <f>Projeções!E10+Projeções!E11</f>
        <v>2166209.54</v>
      </c>
      <c r="C8" s="306">
        <f>Projeções!F10+Projeções!F11</f>
        <v>2542650</v>
      </c>
      <c r="D8" s="306">
        <f>Projeções!G10+Projeções!G11</f>
        <v>2518043.9474872998</v>
      </c>
      <c r="E8" s="306">
        <f>Projeções!H10+Projeções!H11</f>
        <v>2688478.5133318976</v>
      </c>
      <c r="F8" s="306">
        <f>Projeções!I10+Projeções!I11</f>
        <v>2894826.2055142424</v>
      </c>
    </row>
    <row r="9" spans="1:6">
      <c r="A9" s="307" t="s">
        <v>393</v>
      </c>
      <c r="B9" s="308">
        <f>Projeções!E17</f>
        <v>2603667.33</v>
      </c>
      <c r="C9" s="308">
        <f>Projeções!F17</f>
        <v>2701000</v>
      </c>
      <c r="D9" s="308">
        <f>Projeções!G17</f>
        <v>3085404.3595971819</v>
      </c>
      <c r="E9" s="308">
        <f>Projeções!H17</f>
        <v>3302115.8023237442</v>
      </c>
      <c r="F9" s="308">
        <f>Projeções!I17</f>
        <v>3572350.8255183292</v>
      </c>
    </row>
    <row r="10" spans="1:6">
      <c r="A10" s="309" t="s">
        <v>394</v>
      </c>
      <c r="B10" s="308">
        <f>Projeções!E72</f>
        <v>0</v>
      </c>
      <c r="C10" s="308">
        <f>Projeções!F72</f>
        <v>0</v>
      </c>
      <c r="D10" s="308">
        <f>Projeções!G72</f>
        <v>0</v>
      </c>
      <c r="E10" s="308">
        <f>Projeções!H72</f>
        <v>0</v>
      </c>
      <c r="F10" s="308">
        <f>Projeções!I72</f>
        <v>0</v>
      </c>
    </row>
    <row r="11" spans="1:6">
      <c r="A11" s="309" t="s">
        <v>407</v>
      </c>
      <c r="B11" s="308">
        <f>Projeções!E28</f>
        <v>11087842.25</v>
      </c>
      <c r="C11" s="308">
        <f>Projeções!F28</f>
        <v>7000000</v>
      </c>
      <c r="D11" s="308">
        <f>Projeções!G28</f>
        <v>7000000</v>
      </c>
      <c r="E11" s="308">
        <f>Projeções!H28</f>
        <v>7476541.5199999996</v>
      </c>
      <c r="F11" s="308">
        <f>Projeções!I28</f>
        <v>7976274.7514434429</v>
      </c>
    </row>
    <row r="12" spans="1:6">
      <c r="A12" s="307" t="s">
        <v>404</v>
      </c>
      <c r="B12" s="308">
        <f>-(Projeções!E100+Projeções!E101+Projeções!E102)</f>
        <v>8372821.3799999999</v>
      </c>
      <c r="C12" s="308">
        <f>-(Projeções!F100+Projeções!F101+Projeções!F102)</f>
        <v>8221200</v>
      </c>
      <c r="D12" s="308">
        <f>-(Projeções!G100+Projeções!G101+Projeções!G102)</f>
        <v>8505417.2005305625</v>
      </c>
      <c r="E12" s="308">
        <f>-(Projeções!H100+Projeções!H101+Projeções!H102)</f>
        <v>8674525.1952048782</v>
      </c>
      <c r="F12" s="308">
        <f>-(Projeções!I100+Projeções!I101+Projeções!I102)</f>
        <v>8950706.2676428296</v>
      </c>
    </row>
    <row r="13" spans="1:6">
      <c r="A13" s="303" t="s">
        <v>395</v>
      </c>
      <c r="B13" s="304">
        <f>-(IF(Projeções!E63+Projeções!E101&gt;0,0,Projeções!E63+Projeções!E101))</f>
        <v>0</v>
      </c>
      <c r="C13" s="304">
        <f>-(IF(Projeções!F63+Projeções!F101&gt;0,0,Projeções!F63+Projeções!F101))</f>
        <v>0</v>
      </c>
      <c r="D13" s="304">
        <f>-(IF(Projeções!G63+Projeções!G101&gt;0,0,Projeções!G63+Projeções!G101))</f>
        <v>0</v>
      </c>
      <c r="E13" s="304">
        <f>-(IF(Projeções!H63+Projeções!H101&gt;0,0,Projeções!H63+Projeções!H101))</f>
        <v>0</v>
      </c>
      <c r="F13" s="304">
        <f>-(IF(Projeções!I63+Projeções!I101&gt;0,0,Projeções!I63+Projeções!I101))</f>
        <v>0</v>
      </c>
    </row>
    <row r="14" spans="1:6">
      <c r="A14" s="301" t="s">
        <v>396</v>
      </c>
      <c r="B14" s="302">
        <f>B6-B7+B13</f>
        <v>68515145.910000011</v>
      </c>
      <c r="C14" s="302">
        <f>C6-C7+C13</f>
        <v>72078800</v>
      </c>
      <c r="D14" s="302">
        <f>D6-D7+D13</f>
        <v>72660158.174173132</v>
      </c>
      <c r="E14" s="302">
        <f>E6-E7+E13</f>
        <v>74557204.864439785</v>
      </c>
      <c r="F14" s="302">
        <f>F6-F7+F13</f>
        <v>77298599.150639385</v>
      </c>
    </row>
    <row r="16" spans="1:6">
      <c r="A16" s="75"/>
    </row>
    <row r="19" spans="2:2">
      <c r="B19" s="78"/>
    </row>
  </sheetData>
  <mergeCells count="4">
    <mergeCell ref="A1:F1"/>
    <mergeCell ref="A2:F2"/>
    <mergeCell ref="A3:F3"/>
    <mergeCell ref="A4:F4"/>
  </mergeCells>
  <phoneticPr fontId="0" type="noConversion"/>
  <pageMargins left="0.51181102362204722" right="0.51181102362204722" top="0.78740157480314965" bottom="0.78740157480314965" header="0.31496062992125984" footer="0.31496062992125984"/>
  <pageSetup scale="9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2"/>
  <sheetViews>
    <sheetView zoomScaleSheetLayoutView="100" workbookViewId="0">
      <selection activeCell="E24" sqref="E24"/>
    </sheetView>
  </sheetViews>
  <sheetFormatPr defaultRowHeight="12.75"/>
  <cols>
    <col min="1" max="1" width="71.28515625" customWidth="1"/>
    <col min="2" max="2" width="19.140625" customWidth="1"/>
    <col min="3" max="3" width="17.7109375" customWidth="1"/>
    <col min="4" max="4" width="19.7109375" customWidth="1"/>
  </cols>
  <sheetData>
    <row r="1" spans="1:4">
      <c r="A1" s="566" t="str">
        <f>Parâmetros!A7</f>
        <v>Município de : PORTÃO/RS</v>
      </c>
      <c r="B1" s="567"/>
      <c r="C1" s="567"/>
      <c r="D1" s="567"/>
    </row>
    <row r="2" spans="1:4">
      <c r="A2" s="568" t="s">
        <v>597</v>
      </c>
      <c r="B2" s="568"/>
      <c r="C2" s="568"/>
      <c r="D2" s="568"/>
    </row>
    <row r="3" spans="1:4">
      <c r="A3" s="569" t="s">
        <v>473</v>
      </c>
      <c r="B3" s="570"/>
      <c r="C3" s="570"/>
      <c r="D3" s="570"/>
    </row>
    <row r="4" spans="1:4" ht="14.25">
      <c r="A4" s="311"/>
      <c r="B4" s="310"/>
      <c r="C4" s="310"/>
      <c r="D4" s="453"/>
    </row>
    <row r="5" spans="1:4">
      <c r="A5" s="562" t="s">
        <v>477</v>
      </c>
      <c r="B5" s="564"/>
      <c r="C5" s="564"/>
      <c r="D5" s="564"/>
    </row>
    <row r="6" spans="1:4">
      <c r="A6" s="563"/>
      <c r="B6" s="312">
        <f>Parâmetros!E10</f>
        <v>2019</v>
      </c>
      <c r="C6" s="312">
        <f>Parâmetros!F10</f>
        <v>2020</v>
      </c>
      <c r="D6" s="312">
        <f>Parâmetros!G10</f>
        <v>2021</v>
      </c>
    </row>
    <row r="7" spans="1:4">
      <c r="A7" s="313" t="s">
        <v>474</v>
      </c>
      <c r="B7" s="314">
        <f>RCL!D14*0.54</f>
        <v>39236485.414053492</v>
      </c>
      <c r="C7" s="314">
        <f>RCL!E14*0.54</f>
        <v>40260890.62679749</v>
      </c>
      <c r="D7" s="454">
        <f>RCL!F14*0.54</f>
        <v>41741243.541345268</v>
      </c>
    </row>
    <row r="8" spans="1:4">
      <c r="A8" s="315" t="s">
        <v>475</v>
      </c>
      <c r="B8" s="314">
        <f>RCL!D14*0.513</f>
        <v>37274661.143350817</v>
      </c>
      <c r="C8" s="314">
        <f>RCL!E14*0.513</f>
        <v>38247846.095457613</v>
      </c>
      <c r="D8" s="455">
        <f>RCL!F14*0.513</f>
        <v>39654181.364278004</v>
      </c>
    </row>
    <row r="9" spans="1:4">
      <c r="A9" s="313" t="s">
        <v>476</v>
      </c>
      <c r="B9" s="314">
        <f>RCL!D14*0.486</f>
        <v>35312836.872648142</v>
      </c>
      <c r="C9" s="314">
        <f>RCL!E14*0.486</f>
        <v>36234801.564117737</v>
      </c>
      <c r="D9" s="456">
        <f>RCL!F14*0.486</f>
        <v>37567119.187210739</v>
      </c>
    </row>
    <row r="10" spans="1:4">
      <c r="A10" s="571"/>
      <c r="B10" s="571"/>
      <c r="C10" s="571"/>
      <c r="D10" s="571"/>
    </row>
    <row r="11" spans="1:4">
      <c r="A11" s="316"/>
      <c r="B11" s="317"/>
      <c r="C11" s="317"/>
      <c r="D11" s="317"/>
    </row>
    <row r="12" spans="1:4">
      <c r="A12" s="316"/>
      <c r="B12" s="317"/>
      <c r="C12" s="317"/>
      <c r="D12" s="317"/>
    </row>
    <row r="13" spans="1:4">
      <c r="A13" s="562" t="s">
        <v>478</v>
      </c>
      <c r="B13" s="564"/>
      <c r="C13" s="564"/>
      <c r="D13" s="565"/>
    </row>
    <row r="14" spans="1:4">
      <c r="A14" s="563"/>
      <c r="B14" s="312">
        <f>Parâmetros!E10</f>
        <v>2019</v>
      </c>
      <c r="C14" s="312">
        <f>Parâmetros!F10</f>
        <v>2020</v>
      </c>
      <c r="D14" s="312">
        <f>Parâmetros!G10</f>
        <v>2021</v>
      </c>
    </row>
    <row r="15" spans="1:4">
      <c r="A15" s="318" t="s">
        <v>479</v>
      </c>
      <c r="B15" s="319">
        <f>RCL!D14*0.06</f>
        <v>4359609.4904503878</v>
      </c>
      <c r="C15" s="319">
        <f>RCL!E14*0.06</f>
        <v>4473432.2918663872</v>
      </c>
      <c r="D15" s="454">
        <f>RCL!F14*0.06</f>
        <v>4637915.9490383631</v>
      </c>
    </row>
    <row r="16" spans="1:4">
      <c r="A16" s="320" t="s">
        <v>480</v>
      </c>
      <c r="B16" s="314">
        <f>RCL!D14*0.057</f>
        <v>4141629.0159278684</v>
      </c>
      <c r="C16" s="314">
        <f>RCL!E14*0.057</f>
        <v>4249760.6772730676</v>
      </c>
      <c r="D16" s="455">
        <f>RCL!F14*0.057</f>
        <v>4406020.151586445</v>
      </c>
    </row>
    <row r="17" spans="1:4">
      <c r="A17" s="321" t="s">
        <v>481</v>
      </c>
      <c r="B17" s="322">
        <f>RCL!D14*0.054</f>
        <v>3923648.541405349</v>
      </c>
      <c r="C17" s="322">
        <f>RCL!E14*0.054</f>
        <v>4026089.0626797485</v>
      </c>
      <c r="D17" s="456">
        <f>RCL!F14*0.054</f>
        <v>4174124.3541345266</v>
      </c>
    </row>
    <row r="20" spans="1:4">
      <c r="A20" s="76"/>
      <c r="B20" s="79"/>
      <c r="C20" s="79"/>
      <c r="D20" s="79"/>
    </row>
    <row r="21" spans="1:4">
      <c r="A21" s="79"/>
      <c r="B21" s="79"/>
      <c r="C21" s="79"/>
      <c r="D21" s="79"/>
    </row>
    <row r="22" spans="1:4">
      <c r="A22" s="79"/>
      <c r="B22" s="79"/>
      <c r="C22" s="79"/>
      <c r="D22" s="79"/>
    </row>
    <row r="23" spans="1:4">
      <c r="A23" s="79"/>
      <c r="B23" s="79"/>
      <c r="C23" s="79"/>
      <c r="D23" s="79"/>
    </row>
    <row r="24" spans="1:4">
      <c r="A24" s="79"/>
      <c r="B24" s="79"/>
      <c r="C24" s="79"/>
      <c r="D24" s="79"/>
    </row>
    <row r="25" spans="1:4">
      <c r="A25" s="79"/>
      <c r="B25" s="79"/>
      <c r="C25" s="79"/>
      <c r="D25" s="79"/>
    </row>
    <row r="26" spans="1:4">
      <c r="A26" s="79"/>
      <c r="B26" s="79"/>
      <c r="C26" s="79"/>
      <c r="D26" s="79"/>
    </row>
    <row r="27" spans="1:4">
      <c r="A27" s="79"/>
      <c r="B27" s="79"/>
      <c r="C27" s="79"/>
      <c r="D27" s="79"/>
    </row>
    <row r="28" spans="1:4">
      <c r="A28" s="79"/>
      <c r="B28" s="79"/>
      <c r="C28" s="79"/>
      <c r="D28" s="79"/>
    </row>
    <row r="29" spans="1:4">
      <c r="A29" s="79"/>
      <c r="B29" s="79"/>
      <c r="C29" s="79"/>
      <c r="D29" s="79"/>
    </row>
    <row r="30" spans="1:4">
      <c r="A30" s="79"/>
      <c r="B30" s="79"/>
      <c r="C30" s="79"/>
      <c r="D30" s="79"/>
    </row>
    <row r="31" spans="1:4">
      <c r="A31" s="79"/>
      <c r="B31" s="79"/>
      <c r="C31" s="79"/>
      <c r="D31" s="79"/>
    </row>
    <row r="32" spans="1:4">
      <c r="A32" s="79"/>
      <c r="B32" s="79"/>
      <c r="C32" s="79"/>
      <c r="D32" s="79"/>
    </row>
    <row r="33" spans="1:4">
      <c r="A33" s="79"/>
      <c r="B33" s="79"/>
      <c r="C33" s="79"/>
      <c r="D33" s="79"/>
    </row>
    <row r="34" spans="1:4">
      <c r="A34" s="79"/>
      <c r="B34" s="79"/>
      <c r="C34" s="79"/>
      <c r="D34" s="79"/>
    </row>
    <row r="35" spans="1:4" ht="0.75" customHeight="1">
      <c r="A35" s="79"/>
      <c r="B35" s="79"/>
      <c r="C35" s="79"/>
      <c r="D35" s="79"/>
    </row>
    <row r="36" spans="1:4" ht="12.75" hidden="1" customHeight="1">
      <c r="A36" s="79"/>
      <c r="B36" s="79"/>
      <c r="C36" s="79"/>
      <c r="D36" s="79"/>
    </row>
    <row r="37" spans="1:4" ht="12.75" hidden="1" customHeight="1">
      <c r="A37" s="79"/>
      <c r="B37" s="79"/>
      <c r="C37" s="79"/>
      <c r="D37" s="79"/>
    </row>
    <row r="38" spans="1:4" ht="12.75" hidden="1" customHeight="1">
      <c r="A38" s="79"/>
      <c r="B38" s="79"/>
      <c r="C38" s="79"/>
      <c r="D38" s="79"/>
    </row>
    <row r="39" spans="1:4" ht="12.75" hidden="1" customHeight="1">
      <c r="A39" s="79"/>
      <c r="B39" s="79"/>
      <c r="C39" s="79"/>
      <c r="D39" s="79"/>
    </row>
    <row r="40" spans="1:4" ht="12.75" hidden="1" customHeight="1">
      <c r="A40" s="79"/>
      <c r="B40" s="79"/>
      <c r="C40" s="79"/>
      <c r="D40" s="79"/>
    </row>
    <row r="41" spans="1:4" ht="12.75" hidden="1" customHeight="1">
      <c r="A41" s="79"/>
      <c r="B41" s="79"/>
      <c r="C41" s="79"/>
      <c r="D41" s="79"/>
    </row>
    <row r="42" spans="1:4" ht="12.75" hidden="1" customHeight="1">
      <c r="A42" s="79"/>
      <c r="B42" s="79"/>
      <c r="C42" s="79"/>
      <c r="D42" s="79"/>
    </row>
  </sheetData>
  <mergeCells count="8">
    <mergeCell ref="A13:A14"/>
    <mergeCell ref="B13:D13"/>
    <mergeCell ref="A1:D1"/>
    <mergeCell ref="A2:D2"/>
    <mergeCell ref="A3:D3"/>
    <mergeCell ref="A5:A6"/>
    <mergeCell ref="B5:D5"/>
    <mergeCell ref="A10:D10"/>
  </mergeCells>
  <phoneticPr fontId="31" type="noConversion"/>
  <pageMargins left="0.511811024" right="0.511811024" top="0.78740157499999996" bottom="0.78740157499999996" header="0.31496062000000002" footer="0.31496062000000002"/>
  <pageSetup paperSize="9" scale="70" orientation="portrait" r:id="rId1"/>
  <legacyDrawing r:id="rId2"/>
  <oleObjects>
    <oleObject progId="Word.Document.8" shapeId="21506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6"/>
  <dimension ref="A1:J44"/>
  <sheetViews>
    <sheetView showGridLines="0" zoomScale="90" zoomScaleNormal="75" workbookViewId="0">
      <selection activeCell="D28" sqref="D28"/>
    </sheetView>
  </sheetViews>
  <sheetFormatPr defaultColWidth="32" defaultRowHeight="12"/>
  <cols>
    <col min="1" max="1" width="48.42578125" style="26" customWidth="1"/>
    <col min="2" max="2" width="15.5703125" style="27" customWidth="1"/>
    <col min="3" max="3" width="16.5703125" style="32" customWidth="1"/>
    <col min="4" max="4" width="16.7109375" style="26" customWidth="1"/>
    <col min="5" max="5" width="16.28515625" style="26" customWidth="1"/>
    <col min="6" max="6" width="16.140625" style="26" customWidth="1"/>
    <col min="7" max="7" width="17" style="26" customWidth="1"/>
    <col min="8" max="18" width="13.7109375" style="26" customWidth="1"/>
    <col min="19" max="16384" width="32" style="26"/>
  </cols>
  <sheetData>
    <row r="1" spans="1:10">
      <c r="A1" s="576" t="str">
        <f>Parâmetros!A7</f>
        <v>Município de : PORTÃO/RS</v>
      </c>
      <c r="B1" s="577"/>
      <c r="C1" s="577"/>
      <c r="D1" s="577"/>
      <c r="E1" s="577"/>
      <c r="F1" s="577"/>
      <c r="G1" s="577"/>
      <c r="H1" s="577"/>
      <c r="I1" s="577"/>
      <c r="J1" s="578"/>
    </row>
    <row r="2" spans="1:10">
      <c r="A2" s="579" t="s">
        <v>511</v>
      </c>
      <c r="B2" s="577"/>
      <c r="C2" s="577"/>
      <c r="D2" s="577"/>
      <c r="E2" s="577"/>
      <c r="F2" s="577"/>
      <c r="G2" s="577"/>
      <c r="H2" s="577"/>
      <c r="I2" s="577"/>
      <c r="J2" s="578"/>
    </row>
    <row r="3" spans="1:10">
      <c r="A3" s="579" t="s">
        <v>595</v>
      </c>
      <c r="B3" s="577"/>
      <c r="C3" s="577"/>
      <c r="D3" s="577"/>
      <c r="E3" s="577"/>
      <c r="F3" s="577"/>
      <c r="G3" s="577"/>
      <c r="H3" s="577"/>
      <c r="I3" s="577"/>
      <c r="J3" s="578"/>
    </row>
    <row r="4" spans="1:10">
      <c r="A4" s="28"/>
      <c r="C4" s="25"/>
    </row>
    <row r="5" spans="1:10" ht="15">
      <c r="A5" s="575" t="s">
        <v>145</v>
      </c>
      <c r="B5" s="80">
        <f>Parâmetros!B10</f>
        <v>2016</v>
      </c>
      <c r="C5" s="80">
        <f>B5+1</f>
        <v>2017</v>
      </c>
      <c r="D5" s="80">
        <f>C5+1</f>
        <v>2018</v>
      </c>
      <c r="E5" s="80">
        <f>D5+1</f>
        <v>2019</v>
      </c>
      <c r="F5" s="80">
        <f>E5+1</f>
        <v>2020</v>
      </c>
      <c r="G5" s="80">
        <f>F5+1</f>
        <v>2021</v>
      </c>
    </row>
    <row r="6" spans="1:10" ht="39.75" customHeight="1">
      <c r="A6" s="575"/>
      <c r="B6" s="95" t="s">
        <v>127</v>
      </c>
      <c r="C6" s="89" t="s">
        <v>127</v>
      </c>
      <c r="D6" s="89" t="s">
        <v>128</v>
      </c>
      <c r="E6" s="89" t="s">
        <v>625</v>
      </c>
      <c r="F6" s="89" t="s">
        <v>625</v>
      </c>
      <c r="G6" s="89" t="s">
        <v>625</v>
      </c>
    </row>
    <row r="7" spans="1:10" ht="22.9" customHeight="1">
      <c r="A7" s="94" t="s">
        <v>619</v>
      </c>
      <c r="B7" s="96">
        <f t="shared" ref="B7:G7" si="0">B8+B9+B10</f>
        <v>1968245.02</v>
      </c>
      <c r="C7" s="96">
        <f t="shared" si="0"/>
        <v>1560483.86</v>
      </c>
      <c r="D7" s="96">
        <f t="shared" si="0"/>
        <v>1613031.5</v>
      </c>
      <c r="E7" s="96">
        <f t="shared" si="0"/>
        <v>1713920.1266666667</v>
      </c>
      <c r="F7" s="96">
        <f t="shared" si="0"/>
        <v>1629145.1622222224</v>
      </c>
      <c r="G7" s="96">
        <f t="shared" si="0"/>
        <v>1652032.2629629632</v>
      </c>
    </row>
    <row r="8" spans="1:10" ht="22.9" customHeight="1">
      <c r="A8" s="82" t="s">
        <v>616</v>
      </c>
      <c r="B8" s="46">
        <v>0</v>
      </c>
      <c r="C8" s="46">
        <v>0</v>
      </c>
      <c r="D8" s="46">
        <v>0</v>
      </c>
      <c r="E8" s="84">
        <f t="shared" ref="E8:G10" si="1">(B8+C8+D8)/3</f>
        <v>0</v>
      </c>
      <c r="F8" s="84">
        <f t="shared" si="1"/>
        <v>0</v>
      </c>
      <c r="G8" s="84">
        <f t="shared" si="1"/>
        <v>0</v>
      </c>
    </row>
    <row r="9" spans="1:10" ht="22.9" customHeight="1">
      <c r="A9" s="82" t="s">
        <v>617</v>
      </c>
      <c r="B9" s="46">
        <v>1968245.02</v>
      </c>
      <c r="C9" s="46">
        <v>1560483.86</v>
      </c>
      <c r="D9" s="46">
        <v>1613031.5</v>
      </c>
      <c r="E9" s="84">
        <f t="shared" si="1"/>
        <v>1713920.1266666667</v>
      </c>
      <c r="F9" s="84">
        <f t="shared" si="1"/>
        <v>1629145.1622222224</v>
      </c>
      <c r="G9" s="84">
        <f t="shared" si="1"/>
        <v>1652032.2629629632</v>
      </c>
    </row>
    <row r="10" spans="1:10" ht="22.9" customHeight="1">
      <c r="A10" s="82" t="s">
        <v>618</v>
      </c>
      <c r="B10" s="46">
        <v>0</v>
      </c>
      <c r="C10" s="46">
        <v>0</v>
      </c>
      <c r="D10" s="46">
        <v>0</v>
      </c>
      <c r="E10" s="84">
        <f t="shared" si="1"/>
        <v>0</v>
      </c>
      <c r="F10" s="84">
        <f t="shared" si="1"/>
        <v>0</v>
      </c>
      <c r="G10" s="84">
        <f t="shared" si="1"/>
        <v>0</v>
      </c>
    </row>
    <row r="11" spans="1:10" ht="15">
      <c r="A11" s="82" t="s">
        <v>620</v>
      </c>
      <c r="B11" s="96">
        <f>B12+B13+B14</f>
        <v>8246403.8999999994</v>
      </c>
      <c r="C11" s="96">
        <f>C12+C13+C14</f>
        <v>10948145.790000001</v>
      </c>
      <c r="D11" s="96">
        <f>D12+D13+D14</f>
        <v>17893910.079999998</v>
      </c>
      <c r="E11" s="96">
        <f>E12-E13+E14</f>
        <v>13398042.803333331</v>
      </c>
      <c r="F11" s="96">
        <f>F12-F13+F14</f>
        <v>14879272.404444445</v>
      </c>
      <c r="G11" s="96">
        <f>G12-G13+G14</f>
        <v>15578559.762592591</v>
      </c>
    </row>
    <row r="12" spans="1:10" ht="15">
      <c r="A12" s="82" t="s">
        <v>621</v>
      </c>
      <c r="B12" s="46">
        <v>8585378.9499999993</v>
      </c>
      <c r="C12" s="46">
        <v>11849778.060000001</v>
      </c>
      <c r="D12" s="46">
        <v>18161137.079999998</v>
      </c>
      <c r="E12" s="84">
        <f t="shared" ref="E12:G14" si="2">(B12+C12+D12)/3</f>
        <v>12865431.363333331</v>
      </c>
      <c r="F12" s="84">
        <f t="shared" si="2"/>
        <v>14292115.501111111</v>
      </c>
      <c r="G12" s="84">
        <f t="shared" si="2"/>
        <v>15106227.981481479</v>
      </c>
    </row>
    <row r="13" spans="1:10" ht="15">
      <c r="A13" s="82" t="s">
        <v>622</v>
      </c>
      <c r="B13" s="46">
        <v>-353975.05</v>
      </c>
      <c r="C13" s="46">
        <v>-916632.27</v>
      </c>
      <c r="D13" s="46">
        <v>-282227</v>
      </c>
      <c r="E13" s="84">
        <f t="shared" si="2"/>
        <v>-517611.44</v>
      </c>
      <c r="F13" s="84">
        <f t="shared" si="2"/>
        <v>-572156.90333333332</v>
      </c>
      <c r="G13" s="84">
        <f t="shared" si="2"/>
        <v>-457331.78111111111</v>
      </c>
    </row>
    <row r="14" spans="1:10" ht="15">
      <c r="A14" s="82" t="s">
        <v>624</v>
      </c>
      <c r="B14" s="46">
        <v>15000</v>
      </c>
      <c r="C14" s="46">
        <v>15000</v>
      </c>
      <c r="D14" s="46">
        <v>15000</v>
      </c>
      <c r="E14" s="84">
        <f t="shared" si="2"/>
        <v>15000</v>
      </c>
      <c r="F14" s="84">
        <f t="shared" si="2"/>
        <v>15000</v>
      </c>
      <c r="G14" s="84">
        <f t="shared" si="2"/>
        <v>15000</v>
      </c>
    </row>
    <row r="15" spans="1:10" ht="22.9" customHeight="1">
      <c r="A15" s="82" t="s">
        <v>623</v>
      </c>
      <c r="B15" s="83">
        <f t="shared" ref="B15:G15" si="3">B7-B11</f>
        <v>-6278158.879999999</v>
      </c>
      <c r="C15" s="83">
        <f t="shared" si="3"/>
        <v>-9387661.9300000016</v>
      </c>
      <c r="D15" s="83">
        <f t="shared" si="3"/>
        <v>-16280878.579999998</v>
      </c>
      <c r="E15" s="83">
        <f t="shared" si="3"/>
        <v>-11684122.676666664</v>
      </c>
      <c r="F15" s="83">
        <f t="shared" si="3"/>
        <v>-13250127.242222223</v>
      </c>
      <c r="G15" s="83">
        <f t="shared" si="3"/>
        <v>-13926527.499629628</v>
      </c>
    </row>
    <row r="16" spans="1:10" s="29" customFormat="1" ht="15">
      <c r="A16" s="36"/>
      <c r="B16" s="37"/>
      <c r="C16" s="37"/>
      <c r="D16" s="37"/>
      <c r="E16" s="37"/>
      <c r="F16" s="37"/>
      <c r="G16" s="37"/>
    </row>
    <row r="17" spans="1:7" ht="15">
      <c r="A17" s="38" t="s">
        <v>626</v>
      </c>
      <c r="B17" s="47"/>
      <c r="C17" s="39"/>
      <c r="D17" s="39"/>
      <c r="E17" s="39"/>
      <c r="F17" s="39"/>
      <c r="G17" s="40" t="s">
        <v>5</v>
      </c>
    </row>
    <row r="18" spans="1:7" ht="15">
      <c r="A18" s="575" t="s">
        <v>153</v>
      </c>
      <c r="B18" s="80">
        <f>Parâmetros!B10</f>
        <v>2016</v>
      </c>
      <c r="C18" s="80">
        <f>B18+1</f>
        <v>2017</v>
      </c>
      <c r="D18" s="80">
        <f>C18+1</f>
        <v>2018</v>
      </c>
      <c r="E18" s="80">
        <f>D18+1</f>
        <v>2019</v>
      </c>
      <c r="F18" s="80">
        <f>E18+1</f>
        <v>2020</v>
      </c>
      <c r="G18" s="80">
        <f>F18+1</f>
        <v>2021</v>
      </c>
    </row>
    <row r="19" spans="1:7" ht="15">
      <c r="A19" s="575"/>
      <c r="B19" s="80" t="s">
        <v>10</v>
      </c>
      <c r="C19" s="81" t="s">
        <v>10</v>
      </c>
      <c r="D19" s="81" t="s">
        <v>128</v>
      </c>
      <c r="E19" s="81" t="s">
        <v>11</v>
      </c>
      <c r="F19" s="81" t="s">
        <v>11</v>
      </c>
      <c r="G19" s="81" t="s">
        <v>11</v>
      </c>
    </row>
    <row r="20" spans="1:7" s="30" customFormat="1" ht="15">
      <c r="A20" s="85" t="s">
        <v>38</v>
      </c>
      <c r="B20" s="86">
        <f>Projeções!D79</f>
        <v>2186466.38</v>
      </c>
      <c r="C20" s="86">
        <f>Projeções!E79</f>
        <v>49302.58</v>
      </c>
      <c r="D20" s="86">
        <f>Projeções!F79</f>
        <v>1000</v>
      </c>
      <c r="E20" s="48">
        <v>0</v>
      </c>
      <c r="F20" s="48">
        <v>0</v>
      </c>
      <c r="G20" s="48">
        <v>0</v>
      </c>
    </row>
    <row r="21" spans="1:7" ht="15">
      <c r="A21" s="82" t="s">
        <v>482</v>
      </c>
      <c r="B21" s="83">
        <f>Projeções!D119+Projeções!D120</f>
        <v>0</v>
      </c>
      <c r="C21" s="83">
        <f>Projeções!E119+Projeções!E120</f>
        <v>142999.85999999999</v>
      </c>
      <c r="D21" s="83">
        <f>Projeções!F119+Projeções!F120</f>
        <v>395000</v>
      </c>
      <c r="E21" s="83">
        <f>Projeções!G119+Projeções!G120</f>
        <v>201408.89770356851</v>
      </c>
      <c r="F21" s="83">
        <f>Projeções!H119+Projeções!H120</f>
        <v>217702.8775277872</v>
      </c>
      <c r="G21" s="83">
        <f>Projeções!I119+Projeções!I120</f>
        <v>235293.27003203239</v>
      </c>
    </row>
    <row r="22" spans="1:7" ht="15">
      <c r="A22" s="82" t="s">
        <v>483</v>
      </c>
      <c r="B22" s="83">
        <f>Projeções!D136+Projeções!D137</f>
        <v>1846516.7</v>
      </c>
      <c r="C22" s="83">
        <f>Projeções!E136+Projeções!E137</f>
        <v>2183747.2400000002</v>
      </c>
      <c r="D22" s="83">
        <f>Projeções!F136+Projeções!F137</f>
        <v>2500000</v>
      </c>
      <c r="E22" s="83">
        <f>Projeções!G136+Projeções!G137</f>
        <v>2446584.9200606253</v>
      </c>
      <c r="F22" s="83">
        <f>Projeções!H136+Projeções!H137</f>
        <v>2544937.6338470625</v>
      </c>
      <c r="G22" s="83">
        <f>Projeções!I136+Projeções!I137</f>
        <v>2645208.1766206371</v>
      </c>
    </row>
    <row r="23" spans="1:7" ht="15.75" hidden="1" customHeight="1">
      <c r="A23" s="50" t="s">
        <v>35</v>
      </c>
      <c r="B23" s="49"/>
      <c r="C23" s="49"/>
      <c r="D23" s="49"/>
      <c r="E23" s="49"/>
      <c r="F23" s="49"/>
      <c r="G23" s="49"/>
    </row>
    <row r="24" spans="1:7" ht="12.75">
      <c r="A24" s="572" t="s">
        <v>792</v>
      </c>
      <c r="B24" s="573"/>
      <c r="C24" s="573"/>
      <c r="D24" s="573"/>
      <c r="E24" s="573"/>
      <c r="F24" s="573"/>
      <c r="G24" s="574"/>
    </row>
    <row r="25" spans="1:7">
      <c r="A25" s="28"/>
      <c r="C25" s="25"/>
    </row>
    <row r="26" spans="1:7">
      <c r="A26" s="28"/>
      <c r="C26" s="25"/>
    </row>
    <row r="27" spans="1:7">
      <c r="A27" s="28"/>
      <c r="C27" s="25"/>
    </row>
    <row r="28" spans="1:7">
      <c r="A28" s="28"/>
      <c r="C28" s="25"/>
    </row>
    <row r="29" spans="1:7">
      <c r="A29" s="28"/>
      <c r="C29" s="25"/>
    </row>
    <row r="30" spans="1:7">
      <c r="A30" s="28"/>
      <c r="C30" s="25"/>
    </row>
    <row r="31" spans="1:7">
      <c r="A31" s="31"/>
    </row>
    <row r="32" spans="1:7">
      <c r="A32" s="31"/>
    </row>
    <row r="33" spans="1:1">
      <c r="A33" s="31"/>
    </row>
    <row r="34" spans="1:1">
      <c r="A34" s="31"/>
    </row>
    <row r="35" spans="1:1">
      <c r="A35" s="31"/>
    </row>
    <row r="36" spans="1:1">
      <c r="A36" s="31"/>
    </row>
    <row r="37" spans="1:1">
      <c r="A37" s="31"/>
    </row>
    <row r="38" spans="1:1">
      <c r="A38" s="31"/>
    </row>
    <row r="39" spans="1:1">
      <c r="A39" s="31"/>
    </row>
    <row r="40" spans="1:1">
      <c r="A40" s="31"/>
    </row>
    <row r="41" spans="1:1">
      <c r="A41" s="31"/>
    </row>
    <row r="42" spans="1:1">
      <c r="A42" s="31"/>
    </row>
    <row r="43" spans="1:1">
      <c r="A43" s="31"/>
    </row>
    <row r="44" spans="1:1">
      <c r="A44" s="31"/>
    </row>
  </sheetData>
  <customSheetViews>
    <customSheetView guid="{16B3F100-CCE8-11D8-BD62-000C6E3CD3F1}" scale="75" showGridLines="0" hiddenRows="1" showRuler="0" topLeftCell="A25">
      <selection activeCell="E36" sqref="E36"/>
      <pageMargins left="0.78740157499999996" right="0.78740157499999996" top="0.984251969" bottom="0.984251969" header="0.49212598499999999" footer="0.49212598499999999"/>
      <pageSetup orientation="portrait" horizontalDpi="200" verticalDpi="200" r:id="rId1"/>
      <headerFooter alignWithMargins="0"/>
    </customSheetView>
  </customSheetViews>
  <mergeCells count="6">
    <mergeCell ref="A24:G24"/>
    <mergeCell ref="A18:A19"/>
    <mergeCell ref="A1:J1"/>
    <mergeCell ref="A2:J2"/>
    <mergeCell ref="A3:J3"/>
    <mergeCell ref="A5:A6"/>
  </mergeCells>
  <phoneticPr fontId="25" type="noConversion"/>
  <pageMargins left="0.78740157499999996" right="0.78740157499999996" top="0.984251969" bottom="0.984251969" header="0.49212598499999999" footer="0.49212598499999999"/>
  <pageSetup scale="61" orientation="portrait" horizontalDpi="200" verticalDpi="200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9"/>
  <sheetViews>
    <sheetView workbookViewId="0">
      <selection activeCell="J15" sqref="J15"/>
    </sheetView>
  </sheetViews>
  <sheetFormatPr defaultColWidth="32" defaultRowHeight="15"/>
  <cols>
    <col min="1" max="1" width="51.85546875" style="90" customWidth="1"/>
    <col min="2" max="2" width="13.42578125" style="91" customWidth="1"/>
    <col min="3" max="3" width="14" style="93" customWidth="1"/>
    <col min="4" max="4" width="14.7109375" style="90" customWidth="1"/>
    <col min="5" max="5" width="14.42578125" style="90" customWidth="1"/>
    <col min="6" max="6" width="14.85546875" style="90" customWidth="1"/>
    <col min="7" max="7" width="14.140625" style="90" customWidth="1"/>
    <col min="8" max="17" width="13.7109375" style="90" customWidth="1"/>
    <col min="18" max="16384" width="32" style="90"/>
  </cols>
  <sheetData>
    <row r="1" spans="1:9">
      <c r="A1" s="581" t="str">
        <f>Parâmetros!A7</f>
        <v>Município de : PORTÃO/RS</v>
      </c>
      <c r="B1" s="582"/>
      <c r="C1" s="582"/>
      <c r="D1" s="582"/>
      <c r="E1" s="582"/>
      <c r="F1" s="582"/>
      <c r="G1" s="582"/>
      <c r="H1" s="582"/>
      <c r="I1" s="583"/>
    </row>
    <row r="2" spans="1:9">
      <c r="A2" s="584" t="s">
        <v>511</v>
      </c>
      <c r="B2" s="582"/>
      <c r="C2" s="582"/>
      <c r="D2" s="582"/>
      <c r="E2" s="582"/>
      <c r="F2" s="582"/>
      <c r="G2" s="582"/>
      <c r="H2" s="582"/>
      <c r="I2" s="583"/>
    </row>
    <row r="3" spans="1:9">
      <c r="A3" s="584" t="s">
        <v>512</v>
      </c>
      <c r="B3" s="582"/>
      <c r="C3" s="582"/>
      <c r="D3" s="582"/>
      <c r="E3" s="582"/>
      <c r="F3" s="582"/>
      <c r="G3" s="582"/>
      <c r="H3" s="582"/>
      <c r="I3" s="583"/>
    </row>
    <row r="4" spans="1:9">
      <c r="A4" s="323"/>
      <c r="B4" s="324"/>
      <c r="C4" s="297"/>
      <c r="D4" s="297"/>
      <c r="E4" s="297"/>
      <c r="F4" s="297"/>
      <c r="G4" s="297"/>
      <c r="H4" s="297"/>
      <c r="I4" s="297"/>
    </row>
    <row r="5" spans="1:9">
      <c r="A5" s="580" t="s">
        <v>513</v>
      </c>
      <c r="B5" s="328">
        <f>Parâmetros!B10</f>
        <v>2016</v>
      </c>
      <c r="C5" s="328">
        <f>B5+1</f>
        <v>2017</v>
      </c>
      <c r="D5" s="328">
        <f>C5+1</f>
        <v>2018</v>
      </c>
      <c r="E5" s="328">
        <f>D5+1</f>
        <v>2019</v>
      </c>
      <c r="F5" s="328">
        <f>E5+1</f>
        <v>2020</v>
      </c>
      <c r="G5" s="328">
        <f>F5+1</f>
        <v>2021</v>
      </c>
      <c r="H5" s="297"/>
      <c r="I5" s="297"/>
    </row>
    <row r="6" spans="1:9" ht="12.75" customHeight="1">
      <c r="A6" s="580"/>
      <c r="B6" s="328" t="s">
        <v>514</v>
      </c>
      <c r="C6" s="328" t="s">
        <v>514</v>
      </c>
      <c r="D6" s="329" t="s">
        <v>515</v>
      </c>
      <c r="E6" s="329" t="s">
        <v>515</v>
      </c>
      <c r="F6" s="329" t="s">
        <v>515</v>
      </c>
      <c r="G6" s="329" t="s">
        <v>515</v>
      </c>
      <c r="H6" s="297"/>
      <c r="I6" s="297"/>
    </row>
    <row r="7" spans="1:9" ht="20.100000000000001" customHeight="1">
      <c r="A7" s="330" t="s">
        <v>215</v>
      </c>
      <c r="B7" s="331">
        <f>Projeções!D8+Projeções!D99-Projeções!D103</f>
        <v>82828065.80400002</v>
      </c>
      <c r="C7" s="331">
        <f>Projeções!E8+Projeções!E99-Projeções!E103</f>
        <v>84372865.030000016</v>
      </c>
      <c r="D7" s="331">
        <f>Projeções!F8+Projeções!F99-Projeções!F103</f>
        <v>84322450</v>
      </c>
      <c r="E7" s="331">
        <f>Projeções!G8+Projeções!G99-Projeções!G103</f>
        <v>85263606.481257617</v>
      </c>
      <c r="F7" s="331">
        <f>Projeções!H8+Projeções!H99-Projeções!H103</f>
        <v>88024340.70009543</v>
      </c>
      <c r="G7" s="331">
        <f>Projeções!I8+Projeções!I99-Projeções!I103</f>
        <v>91742050.933115408</v>
      </c>
      <c r="H7" s="297"/>
      <c r="I7" s="297"/>
    </row>
    <row r="8" spans="1:9" ht="20.100000000000001" customHeight="1">
      <c r="A8" s="332" t="s">
        <v>516</v>
      </c>
      <c r="B8" s="331">
        <f>Projeções!D25-Projeções!D28</f>
        <v>1227896.2400000002</v>
      </c>
      <c r="C8" s="331">
        <f>Projeções!E25-Projeções!E28</f>
        <v>987226.63000000082</v>
      </c>
      <c r="D8" s="331">
        <f>Projeções!F25-Projeções!F28</f>
        <v>882000</v>
      </c>
      <c r="E8" s="331">
        <f>Projeções!G25-Projeções!G28</f>
        <v>882000</v>
      </c>
      <c r="F8" s="331">
        <f>Projeções!H25-Projeções!H28</f>
        <v>942044.23152000085</v>
      </c>
      <c r="G8" s="331">
        <f>Projeções!I25-Projeções!I28</f>
        <v>1005010.6186818732</v>
      </c>
      <c r="H8" s="297"/>
      <c r="I8" s="297"/>
    </row>
    <row r="9" spans="1:9" ht="20.100000000000001" customHeight="1">
      <c r="A9" s="332" t="s">
        <v>517</v>
      </c>
      <c r="B9" s="333">
        <f>Projeções!D28</f>
        <v>12196385.390000001</v>
      </c>
      <c r="C9" s="333">
        <f>Projeções!E28</f>
        <v>11087842.25</v>
      </c>
      <c r="D9" s="333">
        <f>Projeções!F28</f>
        <v>7000000</v>
      </c>
      <c r="E9" s="333">
        <f>Projeções!G28</f>
        <v>7000000</v>
      </c>
      <c r="F9" s="333">
        <f>Projeções!H28</f>
        <v>7476541.5199999996</v>
      </c>
      <c r="G9" s="333">
        <f>Projeções!I28</f>
        <v>7976274.7514434429</v>
      </c>
      <c r="H9" s="297"/>
      <c r="I9" s="297"/>
    </row>
    <row r="10" spans="1:9" ht="20.100000000000001" customHeight="1">
      <c r="A10" s="332" t="s">
        <v>518</v>
      </c>
      <c r="B10" s="333">
        <f>Projeções!D37+Projeções!D69+Projeções!D74+Projeções!D76</f>
        <v>0</v>
      </c>
      <c r="C10" s="333">
        <f>Projeções!E37+Projeções!E69+Projeções!E74+Projeções!E76</f>
        <v>0</v>
      </c>
      <c r="D10" s="333">
        <f>Projeções!F37+Projeções!F69+Projeções!F74+Projeções!F76</f>
        <v>0</v>
      </c>
      <c r="E10" s="333">
        <f>Projeções!G37+Projeções!G69+Projeções!G74+Projeções!G76</f>
        <v>0</v>
      </c>
      <c r="F10" s="333">
        <f>Projeções!H37+Projeções!H69+Projeções!H74+Projeções!H76</f>
        <v>0</v>
      </c>
      <c r="G10" s="333">
        <f>Projeções!I37+Projeções!I69+Projeções!I74+Projeções!I76</f>
        <v>0</v>
      </c>
      <c r="H10" s="297"/>
      <c r="I10" s="297"/>
    </row>
    <row r="11" spans="1:9" ht="20.100000000000001" customHeight="1">
      <c r="A11" s="330" t="s">
        <v>547</v>
      </c>
      <c r="B11" s="334">
        <f t="shared" ref="B11:G11" si="0">B7-B8-B9-B10</f>
        <v>69403784.174000025</v>
      </c>
      <c r="C11" s="334">
        <f t="shared" si="0"/>
        <v>72297796.150000021</v>
      </c>
      <c r="D11" s="334">
        <f t="shared" si="0"/>
        <v>76440450</v>
      </c>
      <c r="E11" s="334">
        <f t="shared" si="0"/>
        <v>77381606.481257617</v>
      </c>
      <c r="F11" s="334">
        <f t="shared" si="0"/>
        <v>79605754.948575437</v>
      </c>
      <c r="G11" s="334">
        <f t="shared" si="0"/>
        <v>82760765.562990084</v>
      </c>
      <c r="H11" s="297"/>
      <c r="I11" s="297"/>
    </row>
    <row r="12" spans="1:9" ht="20.100000000000001" customHeight="1">
      <c r="A12" s="330"/>
      <c r="B12" s="334"/>
      <c r="C12" s="334"/>
      <c r="D12" s="334"/>
      <c r="E12" s="334"/>
      <c r="F12" s="334"/>
      <c r="G12" s="334"/>
      <c r="H12" s="297"/>
      <c r="I12" s="297"/>
    </row>
    <row r="13" spans="1:9" ht="20.100000000000001" customHeight="1">
      <c r="A13" s="335" t="s">
        <v>333</v>
      </c>
      <c r="B13" s="334">
        <f>Projeções!D78+Projeções!D103</f>
        <v>3104631.63</v>
      </c>
      <c r="C13" s="334">
        <f>Projeções!E78+Projeções!E103</f>
        <v>486414.4</v>
      </c>
      <c r="D13" s="334">
        <f>Projeções!F78+Projeções!F103</f>
        <v>466000</v>
      </c>
      <c r="E13" s="334">
        <f>Projeções!G78+Projeções!G103</f>
        <v>26215.787601611868</v>
      </c>
      <c r="F13" s="334">
        <f>Projeções!H78+Projeções!H103</f>
        <v>27297.539623196666</v>
      </c>
      <c r="G13" s="334">
        <f>Projeções!I78+Projeções!I103</f>
        <v>28402.370898001398</v>
      </c>
      <c r="H13" s="297"/>
      <c r="I13" s="297"/>
    </row>
    <row r="14" spans="1:9" ht="20.100000000000001" customHeight="1">
      <c r="A14" s="336" t="s">
        <v>519</v>
      </c>
      <c r="B14" s="333">
        <f>Projeções!D79</f>
        <v>2186466.38</v>
      </c>
      <c r="C14" s="333">
        <f>Projeções!E79</f>
        <v>49302.58</v>
      </c>
      <c r="D14" s="333">
        <f>Projeções!F79</f>
        <v>1000</v>
      </c>
      <c r="E14" s="333">
        <f>Projeções!G79</f>
        <v>0</v>
      </c>
      <c r="F14" s="333">
        <f>Projeções!H79</f>
        <v>0</v>
      </c>
      <c r="G14" s="333">
        <f>Projeções!I79</f>
        <v>0</v>
      </c>
      <c r="H14" s="297"/>
      <c r="I14" s="297"/>
    </row>
    <row r="15" spans="1:9" ht="20.100000000000001" customHeight="1">
      <c r="A15" s="336" t="s">
        <v>520</v>
      </c>
      <c r="B15" s="333">
        <f>Projeções!D85</f>
        <v>27423.32</v>
      </c>
      <c r="C15" s="333">
        <f>Projeções!E85</f>
        <v>23947.02</v>
      </c>
      <c r="D15" s="333">
        <f>Projeções!F85</f>
        <v>15000</v>
      </c>
      <c r="E15" s="333">
        <f>Projeções!G85</f>
        <v>25215.787601611868</v>
      </c>
      <c r="F15" s="333">
        <f>Projeções!H85</f>
        <v>26229.462263196667</v>
      </c>
      <c r="G15" s="333">
        <f>Projeções!I85</f>
        <v>27262.90307636662</v>
      </c>
      <c r="H15" s="297"/>
      <c r="I15" s="297"/>
    </row>
    <row r="16" spans="1:9" ht="20.100000000000001" customHeight="1">
      <c r="A16" s="336" t="s">
        <v>521</v>
      </c>
      <c r="B16" s="333">
        <f>Projeções!D81+Projeções!D82</f>
        <v>0</v>
      </c>
      <c r="C16" s="333">
        <f>Projeções!E81+Projeções!E82</f>
        <v>0</v>
      </c>
      <c r="D16" s="333">
        <f>Projeções!F81+Projeções!F82</f>
        <v>0</v>
      </c>
      <c r="E16" s="333">
        <f>Projeções!G81+Projeções!G82</f>
        <v>0</v>
      </c>
      <c r="F16" s="333">
        <f>Projeções!H81+Projeções!H82</f>
        <v>0</v>
      </c>
      <c r="G16" s="333">
        <f>Projeções!I81+Projeções!I82</f>
        <v>0</v>
      </c>
      <c r="H16" s="297"/>
      <c r="I16" s="297"/>
    </row>
    <row r="17" spans="1:9" ht="20.100000000000001" customHeight="1">
      <c r="A17" s="336" t="s">
        <v>522</v>
      </c>
      <c r="B17" s="333">
        <f>Projeções!D96</f>
        <v>0</v>
      </c>
      <c r="C17" s="333">
        <f>Projeções!E96</f>
        <v>0</v>
      </c>
      <c r="D17" s="333">
        <f>Projeções!F96</f>
        <v>0</v>
      </c>
      <c r="E17" s="333">
        <f>Projeções!G96</f>
        <v>0</v>
      </c>
      <c r="F17" s="333">
        <f>Projeções!H96</f>
        <v>0</v>
      </c>
      <c r="G17" s="333">
        <f>Projeções!I96</f>
        <v>0</v>
      </c>
      <c r="H17" s="326"/>
      <c r="I17" s="297"/>
    </row>
    <row r="18" spans="1:9" ht="20.100000000000001" customHeight="1">
      <c r="A18" s="335" t="s">
        <v>548</v>
      </c>
      <c r="B18" s="334">
        <f t="shared" ref="B18:G18" si="1">B13-B14-B15-B16-B17</f>
        <v>890741.93</v>
      </c>
      <c r="C18" s="334">
        <f t="shared" si="1"/>
        <v>413164.79999999999</v>
      </c>
      <c r="D18" s="334">
        <f t="shared" si="1"/>
        <v>450000</v>
      </c>
      <c r="E18" s="334">
        <f t="shared" si="1"/>
        <v>1000</v>
      </c>
      <c r="F18" s="334">
        <f t="shared" si="1"/>
        <v>1068.0773599999993</v>
      </c>
      <c r="G18" s="334">
        <f t="shared" si="1"/>
        <v>1139.4678216347784</v>
      </c>
      <c r="H18" s="297"/>
      <c r="I18" s="297"/>
    </row>
    <row r="19" spans="1:9" s="92" customFormat="1" ht="20.100000000000001" customHeight="1">
      <c r="A19" s="337" t="s">
        <v>549</v>
      </c>
      <c r="B19" s="338">
        <f t="shared" ref="B19:G19" si="2">B11+B18</f>
        <v>70294526.104000032</v>
      </c>
      <c r="C19" s="338">
        <f t="shared" si="2"/>
        <v>72710960.950000018</v>
      </c>
      <c r="D19" s="338">
        <f t="shared" si="2"/>
        <v>76890450</v>
      </c>
      <c r="E19" s="338">
        <f t="shared" si="2"/>
        <v>77382606.481257617</v>
      </c>
      <c r="F19" s="338">
        <f t="shared" si="2"/>
        <v>79606823.025935441</v>
      </c>
      <c r="G19" s="338">
        <f t="shared" si="2"/>
        <v>82761905.030811712</v>
      </c>
      <c r="H19" s="325"/>
      <c r="I19" s="325"/>
    </row>
    <row r="20" spans="1:9">
      <c r="A20" s="339"/>
      <c r="B20" s="340"/>
      <c r="C20" s="341"/>
      <c r="D20" s="166"/>
      <c r="E20" s="166"/>
      <c r="F20" s="166"/>
      <c r="G20" s="166"/>
      <c r="H20" s="297"/>
      <c r="I20" s="297"/>
    </row>
    <row r="21" spans="1:9">
      <c r="A21" s="580" t="s">
        <v>541</v>
      </c>
      <c r="B21" s="328">
        <f>B5</f>
        <v>2016</v>
      </c>
      <c r="C21" s="328">
        <f>B21+1</f>
        <v>2017</v>
      </c>
      <c r="D21" s="328">
        <f>C21+1</f>
        <v>2018</v>
      </c>
      <c r="E21" s="328">
        <f>D21+1</f>
        <v>2019</v>
      </c>
      <c r="F21" s="328">
        <f>E21+1</f>
        <v>2020</v>
      </c>
      <c r="G21" s="328">
        <f>F21+1</f>
        <v>2021</v>
      </c>
      <c r="H21" s="297"/>
      <c r="I21" s="297"/>
    </row>
    <row r="22" spans="1:9">
      <c r="A22" s="580"/>
      <c r="B22" s="328" t="s">
        <v>553</v>
      </c>
      <c r="C22" s="328" t="s">
        <v>553</v>
      </c>
      <c r="D22" s="329" t="s">
        <v>554</v>
      </c>
      <c r="E22" s="329" t="s">
        <v>515</v>
      </c>
      <c r="F22" s="329" t="s">
        <v>515</v>
      </c>
      <c r="G22" s="329" t="s">
        <v>515</v>
      </c>
      <c r="H22" s="297"/>
      <c r="I22" s="297"/>
    </row>
    <row r="23" spans="1:9">
      <c r="A23" s="330" t="s">
        <v>434</v>
      </c>
      <c r="B23" s="342">
        <f>Projeções!D113</f>
        <v>67296925.020000011</v>
      </c>
      <c r="C23" s="342">
        <f>Projeções!E113</f>
        <v>69415072.459999993</v>
      </c>
      <c r="D23" s="342">
        <f>Projeções!F113</f>
        <v>80202740</v>
      </c>
      <c r="E23" s="342">
        <f>Projeções!G113</f>
        <v>86813294.062190562</v>
      </c>
      <c r="F23" s="342">
        <f>Projeções!H113</f>
        <v>92059214.48772642</v>
      </c>
      <c r="G23" s="342">
        <f>Projeções!I113</f>
        <v>98553970.293483987</v>
      </c>
      <c r="H23" s="327"/>
      <c r="I23" s="297"/>
    </row>
    <row r="24" spans="1:9">
      <c r="A24" s="332" t="s">
        <v>542</v>
      </c>
      <c r="B24" s="331">
        <f>Projeções!D118</f>
        <v>0</v>
      </c>
      <c r="C24" s="331">
        <f>Projeções!E118</f>
        <v>142999.85999999999</v>
      </c>
      <c r="D24" s="331">
        <f>Projeções!F118</f>
        <v>395000</v>
      </c>
      <c r="E24" s="331">
        <f>Projeções!G118</f>
        <v>201408.89770356851</v>
      </c>
      <c r="F24" s="331">
        <f>Projeções!H118</f>
        <v>217702.8775277872</v>
      </c>
      <c r="G24" s="331">
        <f>Projeções!I118</f>
        <v>235293.27003203239</v>
      </c>
      <c r="H24" s="297"/>
      <c r="I24" s="297"/>
    </row>
    <row r="25" spans="1:9">
      <c r="A25" s="330" t="s">
        <v>550</v>
      </c>
      <c r="B25" s="334">
        <f t="shared" ref="B25:G25" si="3">B23-B24</f>
        <v>67296925.020000011</v>
      </c>
      <c r="C25" s="334">
        <f t="shared" si="3"/>
        <v>69272072.599999994</v>
      </c>
      <c r="D25" s="334">
        <f t="shared" si="3"/>
        <v>79807740</v>
      </c>
      <c r="E25" s="334">
        <f t="shared" si="3"/>
        <v>86611885.164486989</v>
      </c>
      <c r="F25" s="334">
        <f t="shared" si="3"/>
        <v>91841511.610198632</v>
      </c>
      <c r="G25" s="334">
        <f t="shared" si="3"/>
        <v>98318677.023451954</v>
      </c>
      <c r="H25" s="297"/>
      <c r="I25" s="297"/>
    </row>
    <row r="26" spans="1:9">
      <c r="A26" s="330"/>
      <c r="B26" s="334"/>
      <c r="C26" s="334"/>
      <c r="D26" s="334"/>
      <c r="E26" s="334"/>
      <c r="F26" s="334"/>
      <c r="G26" s="334"/>
      <c r="H26" s="297"/>
      <c r="I26" s="297"/>
    </row>
    <row r="27" spans="1:9">
      <c r="A27" s="335" t="s">
        <v>435</v>
      </c>
      <c r="B27" s="334">
        <f>Projeções!D126</f>
        <v>6258552.8400000008</v>
      </c>
      <c r="C27" s="334">
        <f>Projeções!E126</f>
        <v>3811445.3100000005</v>
      </c>
      <c r="D27" s="334">
        <f>Projeções!F126</f>
        <v>7786950</v>
      </c>
      <c r="E27" s="334">
        <f>Projeções!G126</f>
        <v>8441095.8000606261</v>
      </c>
      <c r="F27" s="334">
        <f>Projeções!H126</f>
        <v>8544937.6338470615</v>
      </c>
      <c r="G27" s="334">
        <f>Projeções!I126</f>
        <v>10645208.176620636</v>
      </c>
      <c r="H27" s="297"/>
      <c r="I27" s="297"/>
    </row>
    <row r="28" spans="1:9">
      <c r="A28" s="336" t="s">
        <v>543</v>
      </c>
      <c r="B28" s="333">
        <f>Projeções!D132</f>
        <v>0</v>
      </c>
      <c r="C28" s="333">
        <f>Projeções!E132</f>
        <v>0</v>
      </c>
      <c r="D28" s="333">
        <f>Projeções!F132</f>
        <v>0</v>
      </c>
      <c r="E28" s="333">
        <f>Projeções!G132</f>
        <v>0</v>
      </c>
      <c r="F28" s="333">
        <f>Projeções!H132</f>
        <v>0</v>
      </c>
      <c r="G28" s="333">
        <f>Projeções!I132</f>
        <v>0</v>
      </c>
      <c r="H28" s="297"/>
      <c r="I28" s="297"/>
    </row>
    <row r="29" spans="1:9">
      <c r="A29" s="336" t="s">
        <v>544</v>
      </c>
      <c r="B29" s="333"/>
      <c r="C29" s="333"/>
      <c r="D29" s="333"/>
      <c r="E29" s="333"/>
      <c r="F29" s="333"/>
      <c r="G29" s="333"/>
      <c r="H29" s="297"/>
      <c r="I29" s="297"/>
    </row>
    <row r="30" spans="1:9">
      <c r="A30" s="336" t="s">
        <v>545</v>
      </c>
      <c r="B30" s="333"/>
      <c r="C30" s="333"/>
      <c r="D30" s="333"/>
      <c r="E30" s="333"/>
      <c r="F30" s="333"/>
      <c r="G30" s="333"/>
      <c r="H30" s="297"/>
      <c r="I30" s="297"/>
    </row>
    <row r="31" spans="1:9">
      <c r="A31" s="336" t="s">
        <v>546</v>
      </c>
      <c r="B31" s="333">
        <f>Projeções!D136</f>
        <v>1846516.7</v>
      </c>
      <c r="C31" s="333">
        <f>Projeções!E136</f>
        <v>2183747.2400000002</v>
      </c>
      <c r="D31" s="333">
        <f>Projeções!F136</f>
        <v>2500000</v>
      </c>
      <c r="E31" s="333">
        <f>Projeções!G136</f>
        <v>2446584.9200606253</v>
      </c>
      <c r="F31" s="333">
        <f>Projeções!H136</f>
        <v>2544937.6338470625</v>
      </c>
      <c r="G31" s="333">
        <f>Projeções!I136</f>
        <v>2645208.1766206371</v>
      </c>
      <c r="H31" s="297"/>
      <c r="I31" s="297"/>
    </row>
    <row r="32" spans="1:9">
      <c r="A32" s="335" t="s">
        <v>551</v>
      </c>
      <c r="B32" s="334">
        <f t="shared" ref="B32:G32" si="4">B27-B28-B29-B30-B31</f>
        <v>4412036.1400000006</v>
      </c>
      <c r="C32" s="334">
        <f t="shared" si="4"/>
        <v>1627698.0700000003</v>
      </c>
      <c r="D32" s="334">
        <f t="shared" si="4"/>
        <v>5286950</v>
      </c>
      <c r="E32" s="334">
        <f t="shared" si="4"/>
        <v>5994510.8800000008</v>
      </c>
      <c r="F32" s="334">
        <f t="shared" si="4"/>
        <v>5999999.9999999991</v>
      </c>
      <c r="G32" s="334">
        <f t="shared" si="4"/>
        <v>7999999.9999999991</v>
      </c>
      <c r="H32" s="297"/>
      <c r="I32" s="297"/>
    </row>
    <row r="33" spans="1:9">
      <c r="A33" s="337" t="s">
        <v>552</v>
      </c>
      <c r="B33" s="338">
        <f t="shared" ref="B33:G33" si="5">B25+B32</f>
        <v>71708961.160000011</v>
      </c>
      <c r="C33" s="338">
        <f t="shared" si="5"/>
        <v>70899770.669999987</v>
      </c>
      <c r="D33" s="338">
        <f t="shared" si="5"/>
        <v>85094690</v>
      </c>
      <c r="E33" s="338">
        <f t="shared" si="5"/>
        <v>92606396.044486985</v>
      </c>
      <c r="F33" s="338">
        <f t="shared" si="5"/>
        <v>97841511.610198632</v>
      </c>
      <c r="G33" s="338">
        <f t="shared" si="5"/>
        <v>106318677.02345195</v>
      </c>
      <c r="H33" s="297"/>
      <c r="I33" s="297"/>
    </row>
    <row r="34" spans="1:9">
      <c r="A34" s="166"/>
      <c r="B34" s="340"/>
      <c r="C34" s="341"/>
      <c r="D34" s="166"/>
      <c r="E34" s="166"/>
      <c r="F34" s="166"/>
      <c r="G34" s="166"/>
      <c r="H34" s="297"/>
      <c r="I34" s="297"/>
    </row>
    <row r="35" spans="1:9">
      <c r="A35" s="292" t="s">
        <v>555</v>
      </c>
      <c r="B35" s="343">
        <f t="shared" ref="B35:G35" si="6">B19-B33</f>
        <v>-1414435.0559999794</v>
      </c>
      <c r="C35" s="343">
        <f t="shared" si="6"/>
        <v>1811190.280000031</v>
      </c>
      <c r="D35" s="343">
        <f t="shared" si="6"/>
        <v>-8204240</v>
      </c>
      <c r="E35" s="343">
        <f t="shared" si="6"/>
        <v>-15223789.563229367</v>
      </c>
      <c r="F35" s="343">
        <f t="shared" si="6"/>
        <v>-18234688.584263191</v>
      </c>
      <c r="G35" s="343">
        <f t="shared" si="6"/>
        <v>-23556771.992640242</v>
      </c>
      <c r="H35" s="297"/>
      <c r="I35" s="297"/>
    </row>
    <row r="36" spans="1:9">
      <c r="A36" s="166"/>
      <c r="B36" s="340"/>
      <c r="C36" s="341"/>
      <c r="D36" s="166"/>
      <c r="E36" s="166"/>
      <c r="F36" s="166"/>
      <c r="G36" s="166"/>
      <c r="H36" s="297"/>
      <c r="I36" s="297"/>
    </row>
    <row r="37" spans="1:9">
      <c r="A37" s="580" t="s">
        <v>556</v>
      </c>
      <c r="B37" s="328">
        <f>B21</f>
        <v>2016</v>
      </c>
      <c r="C37" s="328">
        <f>B37+1</f>
        <v>2017</v>
      </c>
      <c r="D37" s="328">
        <f>C37+1</f>
        <v>2018</v>
      </c>
      <c r="E37" s="328">
        <f>D37+1</f>
        <v>2019</v>
      </c>
      <c r="F37" s="328">
        <f>E37+1</f>
        <v>2020</v>
      </c>
      <c r="G37" s="328">
        <f>F37+1</f>
        <v>2021</v>
      </c>
      <c r="H37" s="297"/>
      <c r="I37" s="297"/>
    </row>
    <row r="38" spans="1:9" ht="15.75" thickBot="1">
      <c r="A38" s="580"/>
      <c r="B38" s="328" t="s">
        <v>127</v>
      </c>
      <c r="C38" s="328" t="s">
        <v>127</v>
      </c>
      <c r="D38" s="329" t="s">
        <v>127</v>
      </c>
      <c r="E38" s="329" t="s">
        <v>515</v>
      </c>
      <c r="F38" s="329" t="s">
        <v>515</v>
      </c>
      <c r="G38" s="329" t="s">
        <v>515</v>
      </c>
      <c r="H38" s="297"/>
      <c r="I38" s="297"/>
    </row>
    <row r="39" spans="1:9" ht="26.25" thickBot="1">
      <c r="A39" s="344" t="s">
        <v>557</v>
      </c>
      <c r="B39" s="345">
        <v>0</v>
      </c>
      <c r="C39" s="345">
        <v>0</v>
      </c>
      <c r="D39" s="345">
        <v>0</v>
      </c>
      <c r="E39" s="333">
        <f>((B39+C39+D39)/3)*(1+Parâmetros!E21)</f>
        <v>0</v>
      </c>
      <c r="F39" s="333">
        <f>((C39+D39+E39)/3)*(1+Parâmetros!F21)</f>
        <v>0</v>
      </c>
      <c r="G39" s="333">
        <f>((D39+E39+F39)/3)*(1+Parâmetros!G21)</f>
        <v>0</v>
      </c>
      <c r="H39" s="297"/>
      <c r="I39" s="297"/>
    </row>
    <row r="40" spans="1:9" ht="26.25" thickBot="1">
      <c r="A40" s="346" t="s">
        <v>558</v>
      </c>
      <c r="B40" s="345">
        <v>0</v>
      </c>
      <c r="C40" s="345">
        <v>0</v>
      </c>
      <c r="D40" s="345">
        <v>0</v>
      </c>
      <c r="E40" s="333">
        <f>((B40+C40+D40)/3)*(1+Parâmetros!E21)</f>
        <v>0</v>
      </c>
      <c r="F40" s="333">
        <f>((C40+D40+E40)/3)*(1+Parâmetros!F21)</f>
        <v>0</v>
      </c>
      <c r="G40" s="333">
        <f>((D40+E40+F40)/3)*(1+Parâmetros!G21)</f>
        <v>0</v>
      </c>
      <c r="H40" s="297"/>
      <c r="I40" s="297"/>
    </row>
    <row r="41" spans="1:9" ht="26.25" thickBot="1">
      <c r="A41" s="346" t="s">
        <v>559</v>
      </c>
      <c r="B41" s="345">
        <v>0</v>
      </c>
      <c r="C41" s="345">
        <v>0</v>
      </c>
      <c r="D41" s="345">
        <v>0</v>
      </c>
      <c r="E41" s="333">
        <f>((B41+C41+D41)/3)*(1+Parâmetros!E21)</f>
        <v>0</v>
      </c>
      <c r="F41" s="333">
        <f>((C41+D41+E41)/3)*(1+Parâmetros!F21)</f>
        <v>0</v>
      </c>
      <c r="G41" s="333">
        <f>((D41+E41+F41)/3)*(1+Parâmetros!G21)</f>
        <v>0</v>
      </c>
      <c r="H41" s="297"/>
      <c r="I41" s="297"/>
    </row>
    <row r="42" spans="1:9" ht="26.25" thickBot="1">
      <c r="A42" s="346" t="s">
        <v>560</v>
      </c>
      <c r="B42" s="345">
        <v>0</v>
      </c>
      <c r="C42" s="345">
        <v>0</v>
      </c>
      <c r="D42" s="345">
        <v>0</v>
      </c>
      <c r="E42" s="333">
        <f>((B42+C42+D42)/3)*(1+Parâmetros!E21)</f>
        <v>0</v>
      </c>
      <c r="F42" s="333">
        <f>((C42+D42+E42)/3)*(1+Parâmetros!F21)</f>
        <v>0</v>
      </c>
      <c r="G42" s="333">
        <f>((D42+E42+F42)/3)*(1+Parâmetros!G21)</f>
        <v>0</v>
      </c>
      <c r="H42" s="297"/>
      <c r="I42" s="297"/>
    </row>
    <row r="43" spans="1:9" ht="26.25" thickBot="1">
      <c r="A43" s="346" t="s">
        <v>561</v>
      </c>
      <c r="B43" s="345">
        <v>0</v>
      </c>
      <c r="C43" s="345">
        <v>0</v>
      </c>
      <c r="D43" s="345">
        <v>0</v>
      </c>
      <c r="E43" s="333">
        <f>((B43+C43+D43)/3)*(1+Parâmetros!E21)</f>
        <v>0</v>
      </c>
      <c r="F43" s="333">
        <f>((C43+D43+E43)/3)*(1+Parâmetros!F21)</f>
        <v>0</v>
      </c>
      <c r="G43" s="333">
        <f>((D43+E43+F43)/3)*(1+Parâmetros!G21)</f>
        <v>0</v>
      </c>
      <c r="H43" s="297"/>
      <c r="I43" s="297"/>
    </row>
    <row r="44" spans="1:9" ht="26.25" thickBot="1">
      <c r="A44" s="346" t="s">
        <v>562</v>
      </c>
      <c r="B44" s="345">
        <v>0</v>
      </c>
      <c r="C44" s="345">
        <v>0</v>
      </c>
      <c r="D44" s="345">
        <v>0</v>
      </c>
      <c r="E44" s="333">
        <f>((B44+C44+D44)/3)*(1+Parâmetros!E21)</f>
        <v>0</v>
      </c>
      <c r="F44" s="333">
        <f>((C44+D44+E44)/3)*(1+Parâmetros!F21)</f>
        <v>0</v>
      </c>
      <c r="G44" s="333">
        <f>((D44+E44+F44)/3)*(1+Parâmetros!G21)</f>
        <v>0</v>
      </c>
      <c r="H44" s="297"/>
      <c r="I44" s="297"/>
    </row>
    <row r="45" spans="1:9" ht="26.25" thickBot="1">
      <c r="A45" s="346" t="s">
        <v>563</v>
      </c>
      <c r="B45" s="345">
        <v>0</v>
      </c>
      <c r="C45" s="345">
        <v>0</v>
      </c>
      <c r="D45" s="345">
        <v>0</v>
      </c>
      <c r="E45" s="333">
        <f>((B45+C45+D45)/3)*(1+Parâmetros!E21)</f>
        <v>0</v>
      </c>
      <c r="F45" s="333">
        <f>((C45+D45+E45)/3)*(1+Parâmetros!F21)</f>
        <v>0</v>
      </c>
      <c r="G45" s="333">
        <f>((D45+E45+F45)/3)*(1+Parâmetros!G21)</f>
        <v>0</v>
      </c>
      <c r="H45" s="297"/>
      <c r="I45" s="297"/>
    </row>
    <row r="46" spans="1:9" ht="26.25" thickBot="1">
      <c r="A46" s="346" t="s">
        <v>564</v>
      </c>
      <c r="B46" s="345">
        <v>0</v>
      </c>
      <c r="C46" s="345">
        <v>0</v>
      </c>
      <c r="D46" s="345">
        <v>0</v>
      </c>
      <c r="E46" s="333">
        <f>((B46+C46+D46)/3)*(1+Parâmetros!E21)</f>
        <v>0</v>
      </c>
      <c r="F46" s="333">
        <f>((C46+D46+E46)/3)*(1+Parâmetros!F21)</f>
        <v>0</v>
      </c>
      <c r="G46" s="333">
        <f>((D46+E46+F46)/3)*(1+Parâmetros!G21)</f>
        <v>0</v>
      </c>
      <c r="H46" s="297"/>
      <c r="I46" s="297"/>
    </row>
    <row r="47" spans="1:9" ht="26.25" thickBot="1">
      <c r="A47" s="346" t="s">
        <v>565</v>
      </c>
      <c r="B47" s="345">
        <v>0</v>
      </c>
      <c r="C47" s="345">
        <v>0</v>
      </c>
      <c r="D47" s="345">
        <v>0</v>
      </c>
      <c r="E47" s="333">
        <f>((B47+C47+D47)/3)*(1+Parâmetros!E21)</f>
        <v>0</v>
      </c>
      <c r="F47" s="333">
        <f>((C47+D47+E47)/3)*(1+Parâmetros!F21)</f>
        <v>0</v>
      </c>
      <c r="G47" s="333">
        <f>((D47+E47+F47)/3)*(1+Parâmetros!G21)</f>
        <v>0</v>
      </c>
      <c r="H47" s="297"/>
      <c r="I47" s="297"/>
    </row>
    <row r="48" spans="1:9" ht="26.25" thickBot="1">
      <c r="A48" s="346" t="s">
        <v>566</v>
      </c>
      <c r="B48" s="345">
        <v>0</v>
      </c>
      <c r="C48" s="345">
        <v>0</v>
      </c>
      <c r="D48" s="345">
        <v>0</v>
      </c>
      <c r="E48" s="333">
        <f>((B48+C48+D48)/3)*(1+Parâmetros!E21)</f>
        <v>0</v>
      </c>
      <c r="F48" s="333">
        <f>((C48+D48+E48)/3)*(1+Parâmetros!F21)</f>
        <v>0</v>
      </c>
      <c r="G48" s="333">
        <f>((D48+E48+F48)/3)*(1+Parâmetros!G21)</f>
        <v>0</v>
      </c>
      <c r="H48" s="297"/>
      <c r="I48" s="297"/>
    </row>
    <row r="49" spans="1:9" ht="26.25" thickBot="1">
      <c r="A49" s="346" t="s">
        <v>567</v>
      </c>
      <c r="B49" s="345">
        <v>0</v>
      </c>
      <c r="C49" s="345">
        <v>0</v>
      </c>
      <c r="D49" s="345">
        <v>0</v>
      </c>
      <c r="E49" s="333">
        <f>((B49+C49+D49)/3)*(1+Parâmetros!E21)</f>
        <v>0</v>
      </c>
      <c r="F49" s="333">
        <f>((C49+D49+E49)/3)*(1+Parâmetros!F21)</f>
        <v>0</v>
      </c>
      <c r="G49" s="333">
        <f>((D49+E49+F49)/3)*(1+Parâmetros!G21)</f>
        <v>0</v>
      </c>
      <c r="H49" s="297"/>
      <c r="I49" s="297"/>
    </row>
    <row r="50" spans="1:9" ht="26.25" thickBot="1">
      <c r="A50" s="346" t="s">
        <v>568</v>
      </c>
      <c r="B50" s="345">
        <v>0</v>
      </c>
      <c r="C50" s="345">
        <v>0</v>
      </c>
      <c r="D50" s="345">
        <v>0</v>
      </c>
      <c r="E50" s="333">
        <f>((B50+C50+D50)/3)*(1+Parâmetros!E21)</f>
        <v>0</v>
      </c>
      <c r="F50" s="333">
        <f>((C50+D50+E50)/3)*(1+Parâmetros!F21)</f>
        <v>0</v>
      </c>
      <c r="G50" s="333">
        <f>((D50+E50+F50)/3)*(1+Parâmetros!G21)</f>
        <v>0</v>
      </c>
      <c r="H50" s="297"/>
      <c r="I50" s="297"/>
    </row>
    <row r="51" spans="1:9" ht="26.25" thickBot="1">
      <c r="A51" s="346" t="s">
        <v>569</v>
      </c>
      <c r="B51" s="345">
        <v>0</v>
      </c>
      <c r="C51" s="345">
        <v>0</v>
      </c>
      <c r="D51" s="345">
        <v>0</v>
      </c>
      <c r="E51" s="333">
        <f>((B51+C51+D51)/3)*(1+Parâmetros!E21)</f>
        <v>0</v>
      </c>
      <c r="F51" s="333">
        <f>((C51+D51+E51)/3)*(1+Parâmetros!F21)</f>
        <v>0</v>
      </c>
      <c r="G51" s="333">
        <f>((D51+E51+F51)/3)*(1+Parâmetros!G21)</f>
        <v>0</v>
      </c>
      <c r="H51" s="297"/>
      <c r="I51" s="297"/>
    </row>
    <row r="52" spans="1:9" ht="26.25" thickBot="1">
      <c r="A52" s="346" t="s">
        <v>570</v>
      </c>
      <c r="B52" s="345">
        <v>3182304.42</v>
      </c>
      <c r="C52" s="345">
        <v>2281397.46</v>
      </c>
      <c r="D52" s="345">
        <v>0</v>
      </c>
      <c r="E52" s="333">
        <f>((B52+C52+D52)/3)*(1+Parâmetros!E21)</f>
        <v>1954366.1624759999</v>
      </c>
      <c r="F52" s="333">
        <f>((C52+D52+E52)/3)*(1+Parâmetros!F21)</f>
        <v>1526145.633178103</v>
      </c>
      <c r="G52" s="333">
        <f>((D52+E52+F52)/3)*(1+Parâmetros!G21)</f>
        <v>1253912.3829143182</v>
      </c>
      <c r="H52" s="297"/>
      <c r="I52" s="297"/>
    </row>
    <row r="53" spans="1:9" ht="26.25" thickBot="1">
      <c r="A53" s="346" t="s">
        <v>571</v>
      </c>
      <c r="B53" s="345">
        <v>0</v>
      </c>
      <c r="C53" s="345">
        <v>0</v>
      </c>
      <c r="D53" s="345">
        <v>0</v>
      </c>
      <c r="E53" s="333">
        <f>((B53+C53+D53)/3)*(1+Parâmetros!E21)</f>
        <v>0</v>
      </c>
      <c r="F53" s="333">
        <f>((C53+D53+E53)/3)*(1+Parâmetros!F21)</f>
        <v>0</v>
      </c>
      <c r="G53" s="333">
        <f>((D53+E53+F53)/3)*(1+Parâmetros!G21)</f>
        <v>0</v>
      </c>
      <c r="H53" s="297"/>
      <c r="I53" s="297"/>
    </row>
    <row r="54" spans="1:9" ht="26.25" thickBot="1">
      <c r="A54" s="346" t="s">
        <v>572</v>
      </c>
      <c r="B54" s="345">
        <v>0</v>
      </c>
      <c r="C54" s="345">
        <v>0</v>
      </c>
      <c r="D54" s="345">
        <v>0</v>
      </c>
      <c r="E54" s="333">
        <f>((B54+C54+D54)/3)*(1+Parâmetros!E21)</f>
        <v>0</v>
      </c>
      <c r="F54" s="333">
        <f>((C54+D54+E54)/3)*(1+Parâmetros!F21)</f>
        <v>0</v>
      </c>
      <c r="G54" s="333">
        <f>((D54+E54+F54)/3)*(1+Parâmetros!G21)</f>
        <v>0</v>
      </c>
      <c r="H54" s="297"/>
      <c r="I54" s="297"/>
    </row>
    <row r="55" spans="1:9" ht="25.5">
      <c r="A55" s="347" t="s">
        <v>573</v>
      </c>
      <c r="B55" s="345">
        <v>0</v>
      </c>
      <c r="C55" s="345">
        <v>0</v>
      </c>
      <c r="D55" s="345">
        <v>0</v>
      </c>
      <c r="E55" s="333">
        <f>((B55+C55+D55)/3)*(1+Parâmetros!E21)</f>
        <v>0</v>
      </c>
      <c r="F55" s="333">
        <f>((C55+D55+E55)/3)*(1+Parâmetros!F21)</f>
        <v>0</v>
      </c>
      <c r="G55" s="333">
        <f>((D55+E55+F55)/3)*(1+Parâmetros!G21)</f>
        <v>0</v>
      </c>
      <c r="H55" s="297"/>
      <c r="I55" s="297"/>
    </row>
    <row r="56" spans="1:9">
      <c r="A56" s="348" t="s">
        <v>574</v>
      </c>
      <c r="B56" s="349">
        <f t="shared" ref="B56:G56" si="7">SUM(B39:B55)</f>
        <v>3182304.42</v>
      </c>
      <c r="C56" s="349">
        <f t="shared" si="7"/>
        <v>2281397.46</v>
      </c>
      <c r="D56" s="349">
        <f t="shared" si="7"/>
        <v>0</v>
      </c>
      <c r="E56" s="349">
        <f t="shared" si="7"/>
        <v>1954366.1624759999</v>
      </c>
      <c r="F56" s="349">
        <f t="shared" si="7"/>
        <v>1526145.633178103</v>
      </c>
      <c r="G56" s="349">
        <f t="shared" si="7"/>
        <v>1253912.3829143182</v>
      </c>
      <c r="H56" s="297"/>
      <c r="I56" s="297"/>
    </row>
    <row r="57" spans="1:9">
      <c r="A57" s="166"/>
      <c r="B57" s="340"/>
      <c r="C57" s="341"/>
      <c r="D57" s="166"/>
      <c r="E57" s="166"/>
      <c r="F57" s="166"/>
      <c r="G57" s="166"/>
      <c r="H57" s="297"/>
      <c r="I57" s="297"/>
    </row>
    <row r="58" spans="1:9">
      <c r="A58" s="580" t="s">
        <v>575</v>
      </c>
      <c r="B58" s="328">
        <f>B37</f>
        <v>2016</v>
      </c>
      <c r="C58" s="328">
        <f>B58+1</f>
        <v>2017</v>
      </c>
      <c r="D58" s="328">
        <f>C58+1</f>
        <v>2018</v>
      </c>
      <c r="E58" s="328">
        <f>D58+1</f>
        <v>2019</v>
      </c>
      <c r="F58" s="328">
        <f>E58+1</f>
        <v>2020</v>
      </c>
      <c r="G58" s="328">
        <f>F58+1</f>
        <v>2021</v>
      </c>
      <c r="H58" s="297"/>
      <c r="I58" s="297"/>
    </row>
    <row r="59" spans="1:9" ht="15.75" thickBot="1">
      <c r="A59" s="580"/>
      <c r="B59" s="328" t="s">
        <v>127</v>
      </c>
      <c r="C59" s="328" t="s">
        <v>127</v>
      </c>
      <c r="D59" s="329" t="s">
        <v>127</v>
      </c>
      <c r="E59" s="329" t="s">
        <v>515</v>
      </c>
      <c r="F59" s="329" t="s">
        <v>515</v>
      </c>
      <c r="G59" s="329" t="s">
        <v>515</v>
      </c>
      <c r="H59" s="297"/>
      <c r="I59" s="297"/>
    </row>
    <row r="60" spans="1:9" ht="26.25" thickBot="1">
      <c r="A60" s="350" t="s">
        <v>577</v>
      </c>
      <c r="B60" s="345">
        <v>0</v>
      </c>
      <c r="C60" s="345">
        <v>0</v>
      </c>
      <c r="D60" s="345">
        <v>300000</v>
      </c>
      <c r="E60" s="333">
        <f>((B60+C60+D60)/3)*(1+Parâmetros!E21)</f>
        <v>107310</v>
      </c>
      <c r="F60" s="333">
        <f>((C60+D60+E60)/3)*(1+Parâmetros!F21)</f>
        <v>146753.79300000001</v>
      </c>
      <c r="G60" s="333">
        <f>((D60+E60+F60)/3)*(1+Parâmetros!G21)</f>
        <v>199610.71582480002</v>
      </c>
      <c r="H60" s="297"/>
      <c r="I60" s="297"/>
    </row>
    <row r="61" spans="1:9" ht="26.25" thickBot="1">
      <c r="A61" s="351" t="s">
        <v>578</v>
      </c>
      <c r="B61" s="345">
        <v>0</v>
      </c>
      <c r="C61" s="345">
        <v>0</v>
      </c>
      <c r="D61" s="345">
        <v>0</v>
      </c>
      <c r="E61" s="333">
        <f>((B61+C61+D61)/3)*(1+Parâmetros!E21)</f>
        <v>0</v>
      </c>
      <c r="F61" s="333">
        <f>((C61+D61+E61)/3)*(1+Parâmetros!F21)</f>
        <v>0</v>
      </c>
      <c r="G61" s="333">
        <f>((D61+E61+F61)/3)*(1+Parâmetros!G21)</f>
        <v>0</v>
      </c>
      <c r="H61" s="297"/>
      <c r="I61" s="297"/>
    </row>
    <row r="62" spans="1:9" ht="26.25" thickBot="1">
      <c r="A62" s="351" t="s">
        <v>579</v>
      </c>
      <c r="B62" s="345">
        <v>0</v>
      </c>
      <c r="C62" s="345">
        <v>0</v>
      </c>
      <c r="D62" s="345">
        <v>0</v>
      </c>
      <c r="E62" s="333">
        <f>((B62+C62+D62)/3)*(1+Parâmetros!E21)</f>
        <v>0</v>
      </c>
      <c r="F62" s="333">
        <f>((C62+D62+E62)/3)*(1+Parâmetros!F21)</f>
        <v>0</v>
      </c>
      <c r="G62" s="333">
        <f>((D62+E62+F62)/3)*(1+Parâmetros!G21)</f>
        <v>0</v>
      </c>
      <c r="H62" s="297"/>
      <c r="I62" s="297"/>
    </row>
    <row r="63" spans="1:9" ht="26.25" thickBot="1">
      <c r="A63" s="351" t="s">
        <v>580</v>
      </c>
      <c r="B63" s="345">
        <v>0</v>
      </c>
      <c r="C63" s="345">
        <v>0</v>
      </c>
      <c r="D63" s="345">
        <v>0</v>
      </c>
      <c r="E63" s="333">
        <f>((B63+C63+D63)/3)*(1+Parâmetros!E21)</f>
        <v>0</v>
      </c>
      <c r="F63" s="333">
        <f>((C63+D63+E63)/3)*(1+Parâmetros!F21)</f>
        <v>0</v>
      </c>
      <c r="G63" s="333">
        <f>((D63+E63+F63)/3)*(1+Parâmetros!G21)</f>
        <v>0</v>
      </c>
      <c r="H63" s="297"/>
      <c r="I63" s="297"/>
    </row>
    <row r="64" spans="1:9" ht="26.25" thickBot="1">
      <c r="A64" s="351" t="s">
        <v>581</v>
      </c>
      <c r="B64" s="345">
        <v>0</v>
      </c>
      <c r="C64" s="345">
        <v>0</v>
      </c>
      <c r="D64" s="345">
        <v>0</v>
      </c>
      <c r="E64" s="333">
        <f>((B64+C64+D64)/3)*(1+Parâmetros!E21)</f>
        <v>0</v>
      </c>
      <c r="F64" s="333">
        <f>((C64+D64+E64)/3)*(1+Parâmetros!F21)</f>
        <v>0</v>
      </c>
      <c r="G64" s="333">
        <f>((D64+E64+F64)/3)*(1+Parâmetros!G21)</f>
        <v>0</v>
      </c>
      <c r="H64" s="297"/>
      <c r="I64" s="297"/>
    </row>
    <row r="65" spans="1:9" ht="26.25" thickBot="1">
      <c r="A65" s="351" t="s">
        <v>582</v>
      </c>
      <c r="B65" s="345">
        <v>0</v>
      </c>
      <c r="C65" s="345">
        <v>0</v>
      </c>
      <c r="D65" s="345">
        <v>0</v>
      </c>
      <c r="E65" s="333">
        <f>((B65+C65+D65)/3)*(1+Parâmetros!E21)</f>
        <v>0</v>
      </c>
      <c r="F65" s="333">
        <f>((C65+D65+E65)/3)*(1+Parâmetros!F21)</f>
        <v>0</v>
      </c>
      <c r="G65" s="333">
        <f>((D65+E65+F65)/3)*(1+Parâmetros!G21)</f>
        <v>0</v>
      </c>
      <c r="H65" s="297"/>
      <c r="I65" s="297"/>
    </row>
    <row r="66" spans="1:9" ht="26.25" thickBot="1">
      <c r="A66" s="351" t="s">
        <v>583</v>
      </c>
      <c r="B66" s="345">
        <v>0</v>
      </c>
      <c r="C66" s="345">
        <v>0</v>
      </c>
      <c r="D66" s="345">
        <v>0</v>
      </c>
      <c r="E66" s="333">
        <f>((B66+C66+D66)/3)*(1+Parâmetros!E21)</f>
        <v>0</v>
      </c>
      <c r="F66" s="333">
        <f>((C66+D66+E66)/3)*(1+Parâmetros!F21)</f>
        <v>0</v>
      </c>
      <c r="G66" s="333">
        <f>((D66+E66+F66)/3)*(1+Parâmetros!G21)</f>
        <v>0</v>
      </c>
      <c r="H66" s="297"/>
      <c r="I66" s="297"/>
    </row>
    <row r="67" spans="1:9" ht="26.25" thickBot="1">
      <c r="A67" s="351" t="s">
        <v>584</v>
      </c>
      <c r="B67" s="345">
        <v>0</v>
      </c>
      <c r="C67" s="345">
        <v>0</v>
      </c>
      <c r="D67" s="345">
        <v>0</v>
      </c>
      <c r="E67" s="333">
        <f>((B67+C67+D67)/3)*(1+Parâmetros!E21)</f>
        <v>0</v>
      </c>
      <c r="F67" s="333">
        <f>((C67+D67+E67)/3)*(1+Parâmetros!F21)</f>
        <v>0</v>
      </c>
      <c r="G67" s="333">
        <f>((D67+E67+F67)/3)*(1+Parâmetros!G21)</f>
        <v>0</v>
      </c>
      <c r="H67" s="297"/>
      <c r="I67" s="297"/>
    </row>
    <row r="68" spans="1:9" ht="26.25" thickBot="1">
      <c r="A68" s="351" t="s">
        <v>585</v>
      </c>
      <c r="B68" s="345">
        <v>0</v>
      </c>
      <c r="C68" s="345">
        <v>0</v>
      </c>
      <c r="D68" s="345">
        <v>0</v>
      </c>
      <c r="E68" s="333">
        <f>((B68+C68+D68)/3)*(1+Parâmetros!E21)</f>
        <v>0</v>
      </c>
      <c r="F68" s="333">
        <f>((C68+D68+E68)/3)*(1+Parâmetros!F21)</f>
        <v>0</v>
      </c>
      <c r="G68" s="333">
        <f>((D68+E68+F68)/3)*(1+Parâmetros!G21)</f>
        <v>0</v>
      </c>
      <c r="H68" s="297"/>
      <c r="I68" s="297"/>
    </row>
    <row r="69" spans="1:9" ht="26.25" thickBot="1">
      <c r="A69" s="351" t="s">
        <v>586</v>
      </c>
      <c r="B69" s="345">
        <v>0</v>
      </c>
      <c r="C69" s="345">
        <v>0</v>
      </c>
      <c r="D69" s="345">
        <v>0</v>
      </c>
      <c r="E69" s="333">
        <f>((B69+C69+D69)/3)*(1+Parâmetros!E21)</f>
        <v>0</v>
      </c>
      <c r="F69" s="333">
        <f>((C69+D69+E69)/3)*(1+Parâmetros!F21)</f>
        <v>0</v>
      </c>
      <c r="G69" s="333">
        <f>((D69+E69+F69)/3)*(1+Parâmetros!G21)</f>
        <v>0</v>
      </c>
      <c r="H69" s="297"/>
      <c r="I69" s="297"/>
    </row>
    <row r="70" spans="1:9" ht="26.25" thickBot="1">
      <c r="A70" s="351" t="s">
        <v>587</v>
      </c>
      <c r="B70" s="345">
        <v>0</v>
      </c>
      <c r="C70" s="345">
        <v>0</v>
      </c>
      <c r="D70" s="345">
        <v>0</v>
      </c>
      <c r="E70" s="333">
        <f>((B70+C70+D70)/3)*(1+Parâmetros!E21)</f>
        <v>0</v>
      </c>
      <c r="F70" s="333">
        <f>((C70+D70+E70)/3)*(1+Parâmetros!F21)</f>
        <v>0</v>
      </c>
      <c r="G70" s="333">
        <f>((D70+E70+F70)/3)*(1+Parâmetros!G21)</f>
        <v>0</v>
      </c>
      <c r="H70" s="297"/>
      <c r="I70" s="297"/>
    </row>
    <row r="71" spans="1:9" ht="26.25" thickBot="1">
      <c r="A71" s="351" t="s">
        <v>588</v>
      </c>
      <c r="B71" s="345">
        <v>0</v>
      </c>
      <c r="C71" s="345">
        <v>0</v>
      </c>
      <c r="D71" s="345">
        <v>0</v>
      </c>
      <c r="E71" s="333">
        <f>((B71+C71+D71)/3)*(1+Parâmetros!E21)</f>
        <v>0</v>
      </c>
      <c r="F71" s="333">
        <f>((C71+D71+E71)/3)*(1+Parâmetros!F21)</f>
        <v>0</v>
      </c>
      <c r="G71" s="333">
        <f>((D71+E71+F71)/3)*(1+Parâmetros!G21)</f>
        <v>0</v>
      </c>
      <c r="H71" s="297"/>
      <c r="I71" s="297"/>
    </row>
    <row r="72" spans="1:9" ht="26.25" thickBot="1">
      <c r="A72" s="351" t="s">
        <v>589</v>
      </c>
      <c r="B72" s="345">
        <v>0</v>
      </c>
      <c r="C72" s="345">
        <v>0</v>
      </c>
      <c r="D72" s="345">
        <v>0</v>
      </c>
      <c r="E72" s="333">
        <f>((B72+C72+D72)/3)*(1+Parâmetros!E21)</f>
        <v>0</v>
      </c>
      <c r="F72" s="333">
        <f>((C72+D72+E72)/3)*(1+Parâmetros!F21)</f>
        <v>0</v>
      </c>
      <c r="G72" s="333">
        <f>((D72+E72+F72)/3)*(1+Parâmetros!G21)</f>
        <v>0</v>
      </c>
      <c r="H72" s="297"/>
      <c r="I72" s="297"/>
    </row>
    <row r="73" spans="1:9" ht="26.25" thickBot="1">
      <c r="A73" s="351" t="s">
        <v>590</v>
      </c>
      <c r="B73" s="345">
        <v>0</v>
      </c>
      <c r="C73" s="345">
        <v>0</v>
      </c>
      <c r="D73" s="345">
        <v>0</v>
      </c>
      <c r="E73" s="333">
        <f>((B73+C73+D73)/3)*(1+Parâmetros!E21)</f>
        <v>0</v>
      </c>
      <c r="F73" s="333">
        <f>((C73+D73+E73)/3)*(1+Parâmetros!F21)</f>
        <v>0</v>
      </c>
      <c r="G73" s="333">
        <f>((D73+E73+F73)/3)*(1+Parâmetros!G21)</f>
        <v>0</v>
      </c>
      <c r="H73" s="297"/>
      <c r="I73" s="297"/>
    </row>
    <row r="74" spans="1:9" ht="26.25" thickBot="1">
      <c r="A74" s="351" t="s">
        <v>591</v>
      </c>
      <c r="B74" s="345">
        <v>0</v>
      </c>
      <c r="C74" s="345">
        <v>0</v>
      </c>
      <c r="D74" s="345">
        <v>0</v>
      </c>
      <c r="E74" s="333">
        <f>((B74+C74+D74)/3)*(1+Parâmetros!E21)</f>
        <v>0</v>
      </c>
      <c r="F74" s="333">
        <f>((C74+D74+E74)/3)*(1+Parâmetros!F21)</f>
        <v>0</v>
      </c>
      <c r="G74" s="333">
        <f>((D74+E74+F74)/3)*(1+Parâmetros!G21)</f>
        <v>0</v>
      </c>
      <c r="H74" s="297"/>
      <c r="I74" s="297"/>
    </row>
    <row r="75" spans="1:9" ht="26.25" thickBot="1">
      <c r="A75" s="351" t="s">
        <v>592</v>
      </c>
      <c r="B75" s="345">
        <v>887672.92</v>
      </c>
      <c r="C75" s="345">
        <v>2138437.54</v>
      </c>
      <c r="D75" s="345">
        <v>0</v>
      </c>
      <c r="E75" s="333">
        <f>((B75+C75+D75)/3)*(1+Parâmetros!E21)</f>
        <v>1082439.7115420001</v>
      </c>
      <c r="F75" s="333">
        <f>((C75+D75+E75)/3)*(1+Parâmetros!F21)</f>
        <v>1160482.0737305826</v>
      </c>
      <c r="G75" s="333">
        <f>((D75+E75+F75)/3)*(1+Parâmetros!G21)</f>
        <v>808049.95517420245</v>
      </c>
      <c r="H75" s="297"/>
      <c r="I75" s="297"/>
    </row>
    <row r="76" spans="1:9" ht="26.25" thickBot="1">
      <c r="A76" s="351" t="s">
        <v>593</v>
      </c>
      <c r="B76" s="345">
        <v>0</v>
      </c>
      <c r="C76" s="345">
        <v>0</v>
      </c>
      <c r="D76" s="345">
        <v>0</v>
      </c>
      <c r="E76" s="333">
        <f>((B76+C76+D76)/3)*(1+Parâmetros!E21)</f>
        <v>0</v>
      </c>
      <c r="F76" s="333">
        <f>((C76+D76+E76)/3)*(1+Parâmetros!F21)</f>
        <v>0</v>
      </c>
      <c r="G76" s="333">
        <f>((D76+E76+F76)/3)*(1+Parâmetros!G21)</f>
        <v>0</v>
      </c>
      <c r="H76" s="297"/>
      <c r="I76" s="297"/>
    </row>
    <row r="77" spans="1:9">
      <c r="A77" s="348" t="s">
        <v>576</v>
      </c>
      <c r="B77" s="349">
        <f t="shared" ref="B77:G77" si="8">SUM(B60:B76)</f>
        <v>887672.92</v>
      </c>
      <c r="C77" s="349">
        <f t="shared" si="8"/>
        <v>2138437.54</v>
      </c>
      <c r="D77" s="349">
        <f t="shared" si="8"/>
        <v>300000</v>
      </c>
      <c r="E77" s="349">
        <f t="shared" si="8"/>
        <v>1189749.7115420001</v>
      </c>
      <c r="F77" s="349">
        <f t="shared" si="8"/>
        <v>1307235.8667305827</v>
      </c>
      <c r="G77" s="349">
        <f t="shared" si="8"/>
        <v>1007660.6709990024</v>
      </c>
      <c r="H77" s="297"/>
      <c r="I77" s="297"/>
    </row>
    <row r="78" spans="1:9">
      <c r="A78" s="166"/>
      <c r="B78" s="340"/>
      <c r="C78" s="341"/>
      <c r="D78" s="166"/>
      <c r="E78" s="166"/>
      <c r="F78" s="166"/>
      <c r="G78" s="166"/>
      <c r="H78" s="297"/>
      <c r="I78" s="297"/>
    </row>
    <row r="79" spans="1:9">
      <c r="A79" s="292" t="s">
        <v>594</v>
      </c>
      <c r="B79" s="343">
        <f t="shared" ref="B79:G79" si="9">B35+B56-B77</f>
        <v>880196.44400002051</v>
      </c>
      <c r="C79" s="343">
        <f t="shared" si="9"/>
        <v>1954150.2000000309</v>
      </c>
      <c r="D79" s="343">
        <f t="shared" si="9"/>
        <v>-8504240</v>
      </c>
      <c r="E79" s="343">
        <f t="shared" si="9"/>
        <v>-14459173.112295367</v>
      </c>
      <c r="F79" s="343">
        <f t="shared" si="9"/>
        <v>-18015778.817815669</v>
      </c>
      <c r="G79" s="343">
        <f t="shared" si="9"/>
        <v>-23310520.280724924</v>
      </c>
      <c r="H79" s="297"/>
      <c r="I79" s="297"/>
    </row>
  </sheetData>
  <mergeCells count="7">
    <mergeCell ref="A58:A59"/>
    <mergeCell ref="A1:I1"/>
    <mergeCell ref="A2:I2"/>
    <mergeCell ref="A3:I3"/>
    <mergeCell ref="A5:A6"/>
    <mergeCell ref="A21:A22"/>
    <mergeCell ref="A37:A38"/>
  </mergeCells>
  <phoneticPr fontId="31" type="noConversion"/>
  <pageMargins left="0.511811024" right="0.511811024" top="0.78740157499999996" bottom="0.78740157499999996" header="0.31496062000000002" footer="0.31496062000000002"/>
  <pageSetup paperSize="9"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11"/>
  <dimension ref="A1:M80"/>
  <sheetViews>
    <sheetView view="pageBreakPreview" zoomScaleNormal="80" zoomScaleSheetLayoutView="100" workbookViewId="0">
      <selection activeCell="O25" sqref="O25"/>
    </sheetView>
  </sheetViews>
  <sheetFormatPr defaultRowHeight="12.75"/>
  <cols>
    <col min="1" max="1" width="36.140625" style="73" customWidth="1"/>
    <col min="2" max="2" width="15" style="73" customWidth="1"/>
    <col min="3" max="3" width="14.140625" style="73" customWidth="1"/>
    <col min="4" max="4" width="7.28515625" style="73" customWidth="1"/>
    <col min="5" max="5" width="9.7109375" style="73" customWidth="1"/>
    <col min="6" max="6" width="15.42578125" style="73" customWidth="1"/>
    <col min="7" max="7" width="15.28515625" style="73" customWidth="1"/>
    <col min="8" max="8" width="7.28515625" style="73" customWidth="1"/>
    <col min="9" max="9" width="8.5703125" style="73" customWidth="1"/>
    <col min="10" max="10" width="14.5703125" style="73" customWidth="1"/>
    <col min="11" max="11" width="14.85546875" style="73" customWidth="1"/>
    <col min="12" max="12" width="5.28515625" style="73" customWidth="1"/>
    <col min="13" max="13" width="8.7109375" style="73" customWidth="1"/>
    <col min="14" max="16384" width="9.140625" style="73"/>
  </cols>
  <sheetData>
    <row r="1" spans="1:13">
      <c r="A1" s="601" t="str">
        <f>Parâmetros!A7</f>
        <v>Município de : PORTÃO/RS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3"/>
    </row>
    <row r="2" spans="1:13" s="11" customFormat="1">
      <c r="A2" s="604" t="s">
        <v>36</v>
      </c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3"/>
    </row>
    <row r="3" spans="1:13">
      <c r="A3" s="604" t="s">
        <v>485</v>
      </c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3"/>
    </row>
    <row r="4" spans="1:13">
      <c r="A4" s="605" t="s">
        <v>486</v>
      </c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7"/>
    </row>
    <row r="5" spans="1:13" s="11" customFormat="1" ht="17.25" customHeight="1">
      <c r="A5" s="604" t="s">
        <v>598</v>
      </c>
      <c r="B5" s="602"/>
      <c r="C5" s="602"/>
      <c r="D5" s="602"/>
      <c r="E5" s="602"/>
      <c r="F5" s="602"/>
      <c r="G5" s="602"/>
      <c r="H5" s="602"/>
      <c r="I5" s="602"/>
      <c r="J5" s="602"/>
      <c r="K5" s="602"/>
      <c r="L5" s="602"/>
      <c r="M5" s="603"/>
    </row>
    <row r="6" spans="1:13">
      <c r="A6" s="611" t="s">
        <v>499</v>
      </c>
      <c r="B6" s="612"/>
      <c r="C6" s="612"/>
      <c r="D6" s="613"/>
      <c r="E6" s="167"/>
      <c r="F6" s="614"/>
      <c r="G6" s="614"/>
      <c r="H6" s="614"/>
      <c r="I6" s="167"/>
      <c r="J6" s="588">
        <v>1</v>
      </c>
      <c r="K6" s="589"/>
      <c r="L6" s="589"/>
      <c r="M6" s="589"/>
    </row>
    <row r="7" spans="1:13" s="12" customFormat="1">
      <c r="A7" s="591" t="s">
        <v>56</v>
      </c>
      <c r="B7" s="592">
        <f>Parâmetros!E10</f>
        <v>2019</v>
      </c>
      <c r="C7" s="593"/>
      <c r="D7" s="593"/>
      <c r="E7" s="594"/>
      <c r="F7" s="608">
        <f>B7+1</f>
        <v>2020</v>
      </c>
      <c r="G7" s="609"/>
      <c r="H7" s="609"/>
      <c r="I7" s="610"/>
      <c r="J7" s="591">
        <f>F7+1</f>
        <v>2021</v>
      </c>
      <c r="K7" s="591"/>
      <c r="L7" s="591"/>
      <c r="M7" s="591"/>
    </row>
    <row r="8" spans="1:13" ht="15.75" customHeight="1">
      <c r="A8" s="591"/>
      <c r="B8" s="595" t="s">
        <v>388</v>
      </c>
      <c r="C8" s="598" t="s">
        <v>500</v>
      </c>
      <c r="D8" s="168" t="s">
        <v>58</v>
      </c>
      <c r="E8" s="168" t="s">
        <v>389</v>
      </c>
      <c r="F8" s="595" t="s">
        <v>501</v>
      </c>
      <c r="G8" s="598" t="s">
        <v>502</v>
      </c>
      <c r="H8" s="168" t="s">
        <v>58</v>
      </c>
      <c r="I8" s="168" t="s">
        <v>389</v>
      </c>
      <c r="J8" s="595" t="s">
        <v>503</v>
      </c>
      <c r="K8" s="595" t="s">
        <v>502</v>
      </c>
      <c r="L8" s="169" t="s">
        <v>58</v>
      </c>
      <c r="M8" s="168" t="s">
        <v>389</v>
      </c>
    </row>
    <row r="9" spans="1:13" s="11" customFormat="1" ht="15.75" customHeight="1">
      <c r="A9" s="591"/>
      <c r="B9" s="596"/>
      <c r="C9" s="599"/>
      <c r="D9" s="168" t="s">
        <v>61</v>
      </c>
      <c r="E9" s="168" t="s">
        <v>390</v>
      </c>
      <c r="F9" s="596"/>
      <c r="G9" s="599"/>
      <c r="H9" s="168" t="s">
        <v>62</v>
      </c>
      <c r="I9" s="168" t="s">
        <v>408</v>
      </c>
      <c r="J9" s="596"/>
      <c r="K9" s="596"/>
      <c r="L9" s="169" t="s">
        <v>63</v>
      </c>
      <c r="M9" s="168" t="s">
        <v>409</v>
      </c>
    </row>
    <row r="10" spans="1:13" s="11" customFormat="1" ht="15.75" customHeight="1">
      <c r="A10" s="591"/>
      <c r="B10" s="597"/>
      <c r="C10" s="600"/>
      <c r="D10" s="168" t="s">
        <v>65</v>
      </c>
      <c r="E10" s="168" t="s">
        <v>65</v>
      </c>
      <c r="F10" s="597"/>
      <c r="G10" s="600"/>
      <c r="H10" s="168" t="s">
        <v>65</v>
      </c>
      <c r="I10" s="168" t="s">
        <v>65</v>
      </c>
      <c r="J10" s="597"/>
      <c r="K10" s="597"/>
      <c r="L10" s="169" t="s">
        <v>65</v>
      </c>
      <c r="M10" s="168" t="s">
        <v>65</v>
      </c>
    </row>
    <row r="11" spans="1:13" s="11" customFormat="1">
      <c r="A11" s="170" t="s">
        <v>68</v>
      </c>
      <c r="B11" s="171">
        <f>'RPrim-Nom'!E7+'RPrim-Nom'!E13</f>
        <v>85289822.268859223</v>
      </c>
      <c r="C11" s="171">
        <f>B11/(1+Parâmetros!E11)</f>
        <v>81954282.952684954</v>
      </c>
      <c r="D11" s="585" t="s">
        <v>627</v>
      </c>
      <c r="E11" s="172">
        <f>B11/RCL!D14</f>
        <v>1.173818285179226</v>
      </c>
      <c r="F11" s="171">
        <f>'RPrim-Nom'!F7+'RPrim-Nom'!F13</f>
        <v>88051638.239718631</v>
      </c>
      <c r="G11" s="171">
        <f>F11/((1+Parâmetros!E11)*(1+Parâmetros!F11))</f>
        <v>81338289.768061355</v>
      </c>
      <c r="H11" s="585" t="s">
        <v>627</v>
      </c>
      <c r="I11" s="172">
        <f>F11/RCL!E14</f>
        <v>1.1809943572833033</v>
      </c>
      <c r="J11" s="171">
        <f>'RPrim-Nom'!G7+'RPrim-Nom'!G13</f>
        <v>91770453.304013416</v>
      </c>
      <c r="K11" s="171">
        <f>J11/((1+Parâmetros!E11)*(1+Parâmetros!F11)*(1+Parâmetros!G11))</f>
        <v>81560102.037186608</v>
      </c>
      <c r="L11" s="585" t="s">
        <v>627</v>
      </c>
      <c r="M11" s="172">
        <f>J11/RCL!F14</f>
        <v>1.187220134806988</v>
      </c>
    </row>
    <row r="12" spans="1:13" s="11" customFormat="1">
      <c r="A12" s="170" t="s">
        <v>121</v>
      </c>
      <c r="B12" s="171">
        <f>'RPrim-Nom'!E19</f>
        <v>77382606.481257617</v>
      </c>
      <c r="C12" s="171">
        <f>B12/(1+Parâmetros!E11)</f>
        <v>74356304.872929394</v>
      </c>
      <c r="D12" s="586"/>
      <c r="E12" s="172">
        <f>B12/RCL!D14</f>
        <v>1.0649936419869104</v>
      </c>
      <c r="F12" s="171">
        <f>'RPrim-Nom'!F19</f>
        <v>79606823.025935441</v>
      </c>
      <c r="G12" s="171">
        <f>F12/((1+Parâmetros!E11)*(1+Parâmetros!F11))</f>
        <v>73537335.230152637</v>
      </c>
      <c r="H12" s="586"/>
      <c r="I12" s="172">
        <f>F12/RCL!E14</f>
        <v>1.0677281044893903</v>
      </c>
      <c r="J12" s="171">
        <f>'RPrim-Nom'!G19</f>
        <v>82761905.030811712</v>
      </c>
      <c r="K12" s="171">
        <f>J12/((1+Parâmetros!E11)*(1+Parâmetros!F11)*(1+Parâmetros!G11))</f>
        <v>73553841.96200487</v>
      </c>
      <c r="L12" s="586"/>
      <c r="M12" s="172">
        <f>J12/RCL!F14</f>
        <v>1.0706779416471113</v>
      </c>
    </row>
    <row r="13" spans="1:13" s="11" customFormat="1">
      <c r="A13" s="170" t="s">
        <v>69</v>
      </c>
      <c r="B13" s="171">
        <f>'RPrim-Nom'!E23+'RPrim-Nom'!E27</f>
        <v>95254389.862251192</v>
      </c>
      <c r="C13" s="171">
        <f>B13/(1+Parâmetros!E11)</f>
        <v>91529153.322044</v>
      </c>
      <c r="D13" s="586"/>
      <c r="E13" s="172">
        <f>B13/RCL!D14</f>
        <v>1.310957645232723</v>
      </c>
      <c r="F13" s="171">
        <f>'RPrim-Nom'!F23+'RPrim-Nom'!F27</f>
        <v>100604152.12157348</v>
      </c>
      <c r="G13" s="171">
        <f>F13/((1+Parâmetros!E11)*(1+Parâmetros!F11))</f>
        <v>92933758.425444782</v>
      </c>
      <c r="H13" s="586"/>
      <c r="I13" s="172">
        <f>F13/RCL!E14</f>
        <v>1.3493552005402074</v>
      </c>
      <c r="J13" s="171">
        <f>'RPrim-Nom'!G23+'RPrim-Nom'!G27</f>
        <v>109199178.47010462</v>
      </c>
      <c r="K13" s="171">
        <f>J13/((1+Parâmetros!E11)*(1+Parâmetros!F11)*(1+Parâmetros!G11))</f>
        <v>97049712.818724662</v>
      </c>
      <c r="L13" s="586"/>
      <c r="M13" s="172">
        <f>J13/RCL!F14</f>
        <v>1.4126928517462192</v>
      </c>
    </row>
    <row r="14" spans="1:13" s="11" customFormat="1">
      <c r="A14" s="170" t="s">
        <v>122</v>
      </c>
      <c r="B14" s="171">
        <f>'RPrim-Nom'!E33</f>
        <v>92606396.044486985</v>
      </c>
      <c r="C14" s="171">
        <f>B14/(1+Parâmetros!E11)</f>
        <v>88984718.021031022</v>
      </c>
      <c r="D14" s="586"/>
      <c r="E14" s="172">
        <f>B14/RCL!D14</f>
        <v>1.2745140992192843</v>
      </c>
      <c r="F14" s="171">
        <f>'RPrim-Nom'!F33</f>
        <v>97841511.610198632</v>
      </c>
      <c r="G14" s="171">
        <f>F14/((1+Parâmetros!E11)*(1+Parâmetros!F11))</f>
        <v>90381750.774804279</v>
      </c>
      <c r="H14" s="586"/>
      <c r="I14" s="172">
        <f>F14/RCL!E14</f>
        <v>1.3123012294800276</v>
      </c>
      <c r="J14" s="171">
        <f>'RPrim-Nom'!G33</f>
        <v>106318677.02345195</v>
      </c>
      <c r="K14" s="171">
        <f>J14/((1+Parâmetros!E11)*(1+Parâmetros!F11)*(1+Parâmetros!G11))</f>
        <v>94489695.041227415</v>
      </c>
      <c r="L14" s="586"/>
      <c r="M14" s="172">
        <f>J14/RCL!F14</f>
        <v>1.3754282508568918</v>
      </c>
    </row>
    <row r="15" spans="1:13" s="11" customFormat="1">
      <c r="A15" s="170" t="s">
        <v>70</v>
      </c>
      <c r="B15" s="171">
        <f>B12-B14</f>
        <v>-15223789.563229367</v>
      </c>
      <c r="C15" s="171">
        <f>B15/(1+Parâmetros!E11)</f>
        <v>-14628413.148101632</v>
      </c>
      <c r="D15" s="586"/>
      <c r="E15" s="172">
        <f>B15/RCL!D14</f>
        <v>-0.20952045723237395</v>
      </c>
      <c r="F15" s="171">
        <f>F12-F14</f>
        <v>-18234688.584263191</v>
      </c>
      <c r="G15" s="171">
        <f>F15/((1+Parâmetros!E11)*(1+Parâmetros!F11))</f>
        <v>-16844415.544651646</v>
      </c>
      <c r="H15" s="586"/>
      <c r="I15" s="172">
        <f>F15/RCL!E14</f>
        <v>-0.24457312499063741</v>
      </c>
      <c r="J15" s="171">
        <f>J12-J14</f>
        <v>-23556771.992640242</v>
      </c>
      <c r="K15" s="171">
        <f>J15/((1+Parâmetros!E11)*(1+Parâmetros!F11)*(1+Parâmetros!G11))</f>
        <v>-20935853.079222541</v>
      </c>
      <c r="L15" s="586"/>
      <c r="M15" s="172">
        <f>J15/RCL!F14</f>
        <v>-0.30475030920978069</v>
      </c>
    </row>
    <row r="16" spans="1:13" s="11" customFormat="1">
      <c r="A16" s="170" t="s">
        <v>71</v>
      </c>
      <c r="B16" s="171">
        <f>'RPrim-Nom'!E79</f>
        <v>-14459173.112295367</v>
      </c>
      <c r="C16" s="171">
        <f>B16/(1+Parâmetros!E11)</f>
        <v>-13893699.54097758</v>
      </c>
      <c r="D16" s="586"/>
      <c r="E16" s="172">
        <f>B16/RCL!D14</f>
        <v>-0.19899726997064043</v>
      </c>
      <c r="F16" s="171">
        <f>'RPrim-Nom'!F79</f>
        <v>-18015778.817815669</v>
      </c>
      <c r="G16" s="171">
        <f>F16/((1+Parâmetros!E11)*(1+Parâmetros!F11))</f>
        <v>-16642196.183691077</v>
      </c>
      <c r="H16" s="586"/>
      <c r="I16" s="172">
        <f>F16/RCL!E14</f>
        <v>-0.24163699337404121</v>
      </c>
      <c r="J16" s="171">
        <f>'RPrim-Nom'!G79</f>
        <v>-23310520.280724924</v>
      </c>
      <c r="K16" s="171">
        <f>J16/((1+Parâmetros!E11)*(1+Parâmetros!F11)*(1+Parâmetros!G11))</f>
        <v>-20716999.253971066</v>
      </c>
      <c r="L16" s="586"/>
      <c r="M16" s="172">
        <f>J16/RCL!F14</f>
        <v>-0.30156458896877836</v>
      </c>
    </row>
    <row r="17" spans="1:13" s="11" customFormat="1">
      <c r="A17" s="170" t="s">
        <v>72</v>
      </c>
      <c r="B17" s="171">
        <f>Dívida!E7</f>
        <v>1713920.1266666667</v>
      </c>
      <c r="C17" s="171">
        <f>B17/(1+Parâmetros!E11)</f>
        <v>1646891.6370391725</v>
      </c>
      <c r="D17" s="586"/>
      <c r="E17" s="172">
        <f>B17/RCL!D14</f>
        <v>2.3588169496661999E-2</v>
      </c>
      <c r="F17" s="171">
        <f>Dívida!F7</f>
        <v>1629145.1622222224</v>
      </c>
      <c r="G17" s="171">
        <f>F17/((1+Parâmetros!E11)*(1+Parâmetros!F11))</f>
        <v>1504933.7403388883</v>
      </c>
      <c r="H17" s="586"/>
      <c r="I17" s="172">
        <f>F17/RCL!E14</f>
        <v>2.1850942040871044E-2</v>
      </c>
      <c r="J17" s="171">
        <f>Dívida!G7</f>
        <v>1652032.2629629632</v>
      </c>
      <c r="K17" s="171">
        <f>J17/((1+Parâmetros!E11)*(1+Parâmetros!F11)*(1+Parâmetros!G11))</f>
        <v>1468227.6820582182</v>
      </c>
      <c r="L17" s="586"/>
      <c r="M17" s="172">
        <f>J17/RCL!F14</f>
        <v>2.1372085407957851E-2</v>
      </c>
    </row>
    <row r="18" spans="1:13" s="11" customFormat="1">
      <c r="A18" s="170" t="s">
        <v>73</v>
      </c>
      <c r="B18" s="171">
        <f>Dívida!E15</f>
        <v>-11684122.676666664</v>
      </c>
      <c r="C18" s="171">
        <f>B18/(1+Parâmetros!E11)</f>
        <v>-11227176.58947503</v>
      </c>
      <c r="D18" s="586"/>
      <c r="E18" s="172">
        <f>B18/RCL!D14</f>
        <v>-0.16080508177065536</v>
      </c>
      <c r="F18" s="171">
        <f>Dívida!F15</f>
        <v>-13250127.242222223</v>
      </c>
      <c r="G18" s="171">
        <f>F18/((1+Parâmetros!E11)*(1+Parâmetros!F11))</f>
        <v>-12239893.665094843</v>
      </c>
      <c r="H18" s="586"/>
      <c r="I18" s="172">
        <f>F18/RCL!E14</f>
        <v>-0.17771759639210802</v>
      </c>
      <c r="J18" s="171">
        <f>Dívida!G15</f>
        <v>-13926527.499629628</v>
      </c>
      <c r="K18" s="171">
        <f>J18/((1+Parâmetros!E11)*(1+Parâmetros!F11)*(1+Parâmetros!G11))</f>
        <v>-12377066.506696697</v>
      </c>
      <c r="L18" s="586"/>
      <c r="M18" s="172">
        <f>J18/RCL!F14</f>
        <v>-0.18016532838440752</v>
      </c>
    </row>
    <row r="19" spans="1:13" s="11" customFormat="1">
      <c r="A19" s="170" t="s">
        <v>209</v>
      </c>
      <c r="B19" s="171">
        <v>0</v>
      </c>
      <c r="C19" s="171">
        <f>B19/(1+Parâmetros!E11)</f>
        <v>0</v>
      </c>
      <c r="D19" s="586"/>
      <c r="E19" s="172">
        <f>B19/RCL!D14</f>
        <v>0</v>
      </c>
      <c r="F19" s="171">
        <v>0</v>
      </c>
      <c r="G19" s="171">
        <f>F19/((1+Parâmetros!E11)*(1+Parâmetros!F11))</f>
        <v>0</v>
      </c>
      <c r="H19" s="586"/>
      <c r="I19" s="172">
        <f>F19/RCL!E14</f>
        <v>0</v>
      </c>
      <c r="J19" s="171">
        <v>0</v>
      </c>
      <c r="K19" s="171">
        <f>J19/((1+Parâmetros!E11)*(1+Parâmetros!F11)*(1+Parâmetros!G11))</f>
        <v>0</v>
      </c>
      <c r="L19" s="586"/>
      <c r="M19" s="172">
        <f>J19/RCL!F14</f>
        <v>0</v>
      </c>
    </row>
    <row r="20" spans="1:13" s="11" customFormat="1">
      <c r="A20" s="170" t="s">
        <v>210</v>
      </c>
      <c r="B20" s="171">
        <v>0</v>
      </c>
      <c r="C20" s="171">
        <f>B20/(1+Parâmetros!E11)</f>
        <v>0</v>
      </c>
      <c r="D20" s="586"/>
      <c r="E20" s="172">
        <f>B20/RCL!D14</f>
        <v>0</v>
      </c>
      <c r="F20" s="171">
        <v>0</v>
      </c>
      <c r="G20" s="171">
        <f>F20/((1+Parâmetros!E11)*(1+Parâmetros!F11))</f>
        <v>0</v>
      </c>
      <c r="H20" s="586"/>
      <c r="I20" s="172">
        <f>F20/RCL!E14</f>
        <v>0</v>
      </c>
      <c r="J20" s="171">
        <v>0</v>
      </c>
      <c r="K20" s="171">
        <f>J20/((1+Parâmetros!E11)*(1+Parâmetros!F11)*(1+Parâmetros!G11))</f>
        <v>0</v>
      </c>
      <c r="L20" s="586"/>
      <c r="M20" s="172">
        <f>J20/RCL!F14</f>
        <v>0</v>
      </c>
    </row>
    <row r="21" spans="1:13" s="11" customFormat="1">
      <c r="A21" s="170" t="s">
        <v>211</v>
      </c>
      <c r="B21" s="171">
        <v>0</v>
      </c>
      <c r="C21" s="171">
        <f>B21/(1+Parâmetros!E11)</f>
        <v>0</v>
      </c>
      <c r="D21" s="587"/>
      <c r="E21" s="172">
        <f>B21/RCL!D14</f>
        <v>0</v>
      </c>
      <c r="F21" s="171">
        <v>0</v>
      </c>
      <c r="G21" s="171">
        <f>F21/((1+Parâmetros!E11)*(1+Parâmetros!F11))</f>
        <v>0</v>
      </c>
      <c r="H21" s="587"/>
      <c r="I21" s="172">
        <f>F21/RCL!E14</f>
        <v>0</v>
      </c>
      <c r="J21" s="171">
        <v>0</v>
      </c>
      <c r="K21" s="171">
        <f>J21/((1+Parâmetros!E11)*(1+Parâmetros!F11)*(1+Parâmetros!G11))</f>
        <v>0</v>
      </c>
      <c r="L21" s="587"/>
      <c r="M21" s="172">
        <f>J21/RCL!F14</f>
        <v>0</v>
      </c>
    </row>
    <row r="22" spans="1:13">
      <c r="A22" s="590" t="s">
        <v>793</v>
      </c>
      <c r="B22" s="590"/>
      <c r="C22" s="590"/>
      <c r="D22" s="590"/>
      <c r="E22" s="590"/>
      <c r="F22" s="590"/>
      <c r="G22" s="590"/>
      <c r="H22" s="590"/>
      <c r="I22" s="590"/>
      <c r="J22" s="590"/>
      <c r="K22" s="590"/>
      <c r="L22" s="590"/>
      <c r="M22" s="590"/>
    </row>
    <row r="23" spans="1:13" s="74" customFormat="1" ht="15" customHeight="1">
      <c r="A23" s="165"/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</row>
    <row r="24" spans="1:13">
      <c r="A24" s="166"/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</row>
    <row r="25" spans="1:13">
      <c r="A25" s="166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</row>
    <row r="26" spans="1:13">
      <c r="A26" s="166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</row>
    <row r="27" spans="1:13">
      <c r="A27" s="166"/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</row>
    <row r="28" spans="1:13">
      <c r="A28" s="166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</row>
    <row r="29" spans="1:13">
      <c r="A29" s="166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</row>
    <row r="30" spans="1:13">
      <c r="A30" s="166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</row>
    <row r="31" spans="1:13">
      <c r="A31" s="166"/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</row>
    <row r="32" spans="1:13">
      <c r="A32" s="166"/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</row>
    <row r="33" spans="1:13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</row>
    <row r="34" spans="1:13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</row>
    <row r="35" spans="1:13">
      <c r="A35" s="166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</row>
    <row r="36" spans="1:13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</row>
    <row r="37" spans="1:13">
      <c r="A37" s="166"/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</row>
    <row r="38" spans="1:13">
      <c r="A38" s="166"/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</row>
    <row r="39" spans="1:13">
      <c r="A39" s="166"/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</row>
    <row r="40" spans="1:13">
      <c r="A40" s="166"/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</row>
    <row r="41" spans="1:13">
      <c r="A41" s="166"/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</row>
    <row r="42" spans="1:13">
      <c r="A42" s="166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</row>
    <row r="43" spans="1:13">
      <c r="A43" s="166"/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</row>
    <row r="44" spans="1:13">
      <c r="A44" s="166"/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</row>
    <row r="45" spans="1:13">
      <c r="A45" s="166"/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</row>
    <row r="46" spans="1:13">
      <c r="A46" s="166"/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</row>
    <row r="47" spans="1:13">
      <c r="A47" s="166"/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</row>
    <row r="48" spans="1:13">
      <c r="A48" s="166"/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</row>
    <row r="49" spans="1:13">
      <c r="A49" s="166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</row>
    <row r="50" spans="1:13">
      <c r="A50" s="166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</row>
    <row r="51" spans="1:13">
      <c r="A51" s="166"/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</row>
    <row r="52" spans="1:13">
      <c r="A52" s="166"/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</row>
    <row r="53" spans="1:13">
      <c r="A53" s="166"/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</row>
    <row r="54" spans="1:13">
      <c r="A54" s="166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</row>
    <row r="55" spans="1:13">
      <c r="A55" s="166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</row>
    <row r="56" spans="1:13">
      <c r="A56" s="166"/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</row>
    <row r="57" spans="1:13">
      <c r="A57" s="166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</row>
    <row r="58" spans="1:13">
      <c r="A58" s="166"/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</row>
    <row r="59" spans="1:13">
      <c r="A59" s="166"/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</row>
    <row r="60" spans="1:13">
      <c r="A60" s="166"/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</row>
    <row r="61" spans="1:13">
      <c r="A61" s="166"/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</row>
    <row r="62" spans="1:13">
      <c r="A62" s="166"/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</row>
    <row r="63" spans="1:13">
      <c r="A63" s="166"/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</row>
    <row r="64" spans="1:13">
      <c r="A64" s="166"/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</row>
    <row r="65" spans="1:13">
      <c r="A65" s="166"/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</row>
    <row r="66" spans="1:13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</row>
    <row r="67" spans="1:13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</row>
    <row r="68" spans="1:13">
      <c r="A68" s="166"/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</row>
    <row r="69" spans="1:13">
      <c r="A69" s="166"/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</row>
    <row r="70" spans="1:13">
      <c r="A70" s="166"/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</row>
    <row r="71" spans="1:13">
      <c r="A71" s="166"/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</row>
    <row r="72" spans="1:13">
      <c r="A72" s="166"/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</row>
    <row r="73" spans="1:13">
      <c r="A73" s="166"/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</row>
    <row r="74" spans="1:13">
      <c r="A74" s="166"/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</row>
    <row r="75" spans="1:13">
      <c r="A75" s="166"/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</row>
    <row r="76" spans="1:13">
      <c r="A76" s="166"/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</row>
    <row r="77" spans="1:13">
      <c r="A77" s="166"/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</row>
    <row r="78" spans="1:13">
      <c r="A78" s="166"/>
      <c r="B78" s="166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</row>
    <row r="79" spans="1:13">
      <c r="A79" s="166"/>
      <c r="B79" s="166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</row>
    <row r="80" spans="1:13">
      <c r="A80" s="166"/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</row>
  </sheetData>
  <mergeCells count="22">
    <mergeCell ref="A1:M1"/>
    <mergeCell ref="A2:M2"/>
    <mergeCell ref="A3:M3"/>
    <mergeCell ref="A4:M4"/>
    <mergeCell ref="F7:I7"/>
    <mergeCell ref="A6:D6"/>
    <mergeCell ref="A5:M5"/>
    <mergeCell ref="F6:H6"/>
    <mergeCell ref="D11:D21"/>
    <mergeCell ref="H11:H21"/>
    <mergeCell ref="J6:M6"/>
    <mergeCell ref="L11:L21"/>
    <mergeCell ref="A22:M22"/>
    <mergeCell ref="A7:A10"/>
    <mergeCell ref="B7:E7"/>
    <mergeCell ref="B8:B10"/>
    <mergeCell ref="C8:C10"/>
    <mergeCell ref="J8:J10"/>
    <mergeCell ref="K8:K10"/>
    <mergeCell ref="F8:F10"/>
    <mergeCell ref="G8:G10"/>
    <mergeCell ref="J7:M7"/>
  </mergeCells>
  <phoneticPr fontId="25" type="noConversion"/>
  <pageMargins left="0.78740157499999996" right="0.78740157499999996" top="0.984251969" bottom="0.984251969" header="0.49212598499999999" footer="0.49212598499999999"/>
  <pageSetup paperSize="9" scale="44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zoomScale="90" zoomScaleNormal="90" zoomScaleSheetLayoutView="90" workbookViewId="0">
      <selection activeCell="N17" sqref="N17"/>
    </sheetView>
  </sheetViews>
  <sheetFormatPr defaultRowHeight="14.25"/>
  <cols>
    <col min="1" max="1" width="30" style="13" customWidth="1"/>
    <col min="2" max="2" width="16.7109375" style="13" customWidth="1"/>
    <col min="3" max="3" width="16.140625" style="13" customWidth="1"/>
    <col min="4" max="4" width="12.140625" style="13" customWidth="1"/>
    <col min="5" max="6" width="12.85546875" style="13" customWidth="1"/>
    <col min="7" max="7" width="10.7109375" style="13" customWidth="1"/>
    <col min="8" max="8" width="12.85546875" style="13" customWidth="1"/>
    <col min="9" max="9" width="13.140625" style="13" customWidth="1"/>
    <col min="10" max="10" width="10.140625" style="13" customWidth="1"/>
    <col min="11" max="16384" width="9.140625" style="13"/>
  </cols>
  <sheetData>
    <row r="1" spans="1:10">
      <c r="A1" s="618" t="str">
        <f>Parâmetros!A7</f>
        <v>Município de : PORTÃO/RS</v>
      </c>
      <c r="B1" s="616"/>
      <c r="C1" s="616"/>
      <c r="D1" s="616"/>
      <c r="E1" s="616"/>
      <c r="F1" s="616"/>
      <c r="G1" s="616"/>
      <c r="H1" s="616"/>
      <c r="I1" s="616"/>
      <c r="J1" s="617"/>
    </row>
    <row r="2" spans="1:10">
      <c r="A2" s="615" t="s">
        <v>36</v>
      </c>
      <c r="B2" s="616"/>
      <c r="C2" s="616"/>
      <c r="D2" s="616"/>
      <c r="E2" s="616"/>
      <c r="F2" s="616"/>
      <c r="G2" s="616"/>
      <c r="H2" s="616"/>
      <c r="I2" s="616"/>
      <c r="J2" s="617"/>
    </row>
    <row r="3" spans="1:10">
      <c r="A3" s="615" t="str">
        <f>'Metas Cons'!A3:M3</f>
        <v>ANEXO DE METAS FISCAIS</v>
      </c>
      <c r="B3" s="616"/>
      <c r="C3" s="616"/>
      <c r="D3" s="616"/>
      <c r="E3" s="616"/>
      <c r="F3" s="616"/>
      <c r="G3" s="616"/>
      <c r="H3" s="616"/>
      <c r="I3" s="616"/>
      <c r="J3" s="617"/>
    </row>
    <row r="4" spans="1:10">
      <c r="A4" s="619" t="s">
        <v>487</v>
      </c>
      <c r="B4" s="620"/>
      <c r="C4" s="620"/>
      <c r="D4" s="620"/>
      <c r="E4" s="620"/>
      <c r="F4" s="620"/>
      <c r="G4" s="620"/>
      <c r="H4" s="620"/>
      <c r="I4" s="620"/>
      <c r="J4" s="621"/>
    </row>
    <row r="5" spans="1:10" ht="17.25" customHeight="1">
      <c r="A5" s="615" t="s">
        <v>598</v>
      </c>
      <c r="B5" s="616"/>
      <c r="C5" s="616"/>
      <c r="D5" s="616"/>
      <c r="E5" s="616"/>
      <c r="F5" s="616"/>
      <c r="G5" s="616"/>
      <c r="H5" s="616"/>
      <c r="I5" s="616"/>
      <c r="J5" s="617"/>
    </row>
    <row r="6" spans="1:10" ht="21.75" customHeight="1">
      <c r="A6" s="149"/>
      <c r="B6" s="150"/>
      <c r="C6" s="150"/>
      <c r="D6" s="150"/>
      <c r="E6" s="150"/>
      <c r="F6" s="150"/>
      <c r="G6" s="150"/>
      <c r="H6" s="150"/>
      <c r="I6" s="150"/>
      <c r="J6" s="151"/>
    </row>
    <row r="7" spans="1:10">
      <c r="A7" s="611" t="s">
        <v>499</v>
      </c>
      <c r="B7" s="632"/>
      <c r="C7" s="632"/>
      <c r="D7" s="633"/>
      <c r="E7" s="622"/>
      <c r="F7" s="622"/>
      <c r="G7" s="622"/>
      <c r="H7" s="623">
        <v>1</v>
      </c>
      <c r="I7" s="624"/>
      <c r="J7" s="624"/>
    </row>
    <row r="8" spans="1:10" s="14" customFormat="1">
      <c r="A8" s="626" t="s">
        <v>56</v>
      </c>
      <c r="B8" s="629">
        <f>Parâmetros!E10</f>
        <v>2019</v>
      </c>
      <c r="C8" s="630"/>
      <c r="D8" s="631"/>
      <c r="E8" s="629">
        <f>B8+1</f>
        <v>2020</v>
      </c>
      <c r="F8" s="630"/>
      <c r="G8" s="631"/>
      <c r="H8" s="629">
        <f>E8+1</f>
        <v>2021</v>
      </c>
      <c r="I8" s="630"/>
      <c r="J8" s="631"/>
    </row>
    <row r="9" spans="1:10" ht="15.75" customHeight="1">
      <c r="A9" s="627"/>
      <c r="B9" s="152" t="s">
        <v>57</v>
      </c>
      <c r="C9" s="153" t="s">
        <v>57</v>
      </c>
      <c r="D9" s="153" t="s">
        <v>58</v>
      </c>
      <c r="E9" s="153" t="s">
        <v>57</v>
      </c>
      <c r="F9" s="153" t="s">
        <v>57</v>
      </c>
      <c r="G9" s="153" t="s">
        <v>58</v>
      </c>
      <c r="H9" s="153" t="s">
        <v>57</v>
      </c>
      <c r="I9" s="153" t="s">
        <v>57</v>
      </c>
      <c r="J9" s="154" t="s">
        <v>58</v>
      </c>
    </row>
    <row r="10" spans="1:10" ht="15.75" customHeight="1">
      <c r="A10" s="627"/>
      <c r="B10" s="155" t="s">
        <v>59</v>
      </c>
      <c r="C10" s="156" t="s">
        <v>60</v>
      </c>
      <c r="D10" s="156" t="s">
        <v>61</v>
      </c>
      <c r="E10" s="156" t="s">
        <v>59</v>
      </c>
      <c r="F10" s="156" t="s">
        <v>60</v>
      </c>
      <c r="G10" s="156" t="s">
        <v>62</v>
      </c>
      <c r="H10" s="156" t="s">
        <v>59</v>
      </c>
      <c r="I10" s="156" t="s">
        <v>60</v>
      </c>
      <c r="J10" s="157" t="s">
        <v>63</v>
      </c>
    </row>
    <row r="11" spans="1:10" ht="15.75" customHeight="1">
      <c r="A11" s="628"/>
      <c r="B11" s="158" t="s">
        <v>64</v>
      </c>
      <c r="C11" s="159"/>
      <c r="D11" s="160" t="s">
        <v>65</v>
      </c>
      <c r="E11" s="160" t="s">
        <v>66</v>
      </c>
      <c r="F11" s="159"/>
      <c r="G11" s="160" t="s">
        <v>65</v>
      </c>
      <c r="H11" s="160" t="s">
        <v>67</v>
      </c>
      <c r="I11" s="159"/>
      <c r="J11" s="161" t="s">
        <v>65</v>
      </c>
    </row>
    <row r="12" spans="1:10">
      <c r="A12" s="162" t="s">
        <v>148</v>
      </c>
      <c r="B12" s="163">
        <f>Projeções!G17+Projeções!G28+Projeções!G72+Projeções!G95+Projeções!G97</f>
        <v>20049971.954838775</v>
      </c>
      <c r="C12" s="163">
        <f>B12/(1+Parâmetros!E11)</f>
        <v>19265851.787103657</v>
      </c>
      <c r="D12" s="634" t="s">
        <v>629</v>
      </c>
      <c r="E12" s="163">
        <f>Projeções!H17+Projeções!H28+Projeções!H72+Projeções!H95+Projeções!H97</f>
        <v>21443112.377370797</v>
      </c>
      <c r="F12" s="163">
        <f>E12/((1+Parâmetros!E11)*(1+Parâmetros!F11))</f>
        <v>19808218.483468641</v>
      </c>
      <c r="G12" s="634" t="s">
        <v>629</v>
      </c>
      <c r="H12" s="164">
        <f>Projeções!I17+Projeções!I28+Projeções!I72+Projeções!I95+Projeções!I97</f>
        <v>23085826.904907614</v>
      </c>
      <c r="I12" s="164">
        <f>H12/((1+Parâmetros!E11)*(1+Parâmetros!F11)*(1+Parâmetros!G11))</f>
        <v>20517305.191242293</v>
      </c>
      <c r="J12" s="634" t="s">
        <v>629</v>
      </c>
    </row>
    <row r="13" spans="1:10">
      <c r="A13" s="162" t="s">
        <v>149</v>
      </c>
      <c r="B13" s="163">
        <f>B12-Projeções!G28</f>
        <v>13049971.954838775</v>
      </c>
      <c r="C13" s="163">
        <f>B13/(1+Parâmetros!E11)</f>
        <v>12539609.834571708</v>
      </c>
      <c r="D13" s="635"/>
      <c r="E13" s="163">
        <f>E12-Projeções!H28</f>
        <v>13966570.857370798</v>
      </c>
      <c r="F13" s="163">
        <f>E13/((1+Parâmetros!E11)*(1+Parâmetros!F11))</f>
        <v>12901713.246608837</v>
      </c>
      <c r="G13" s="635"/>
      <c r="H13" s="164">
        <f>H12-Projeções!I28</f>
        <v>15109552.153464172</v>
      </c>
      <c r="I13" s="164">
        <f>H13/((1+Parâmetros!E11)*(1+Parâmetros!F11)*(1+Parâmetros!G11))</f>
        <v>13428468.216129391</v>
      </c>
      <c r="J13" s="635"/>
    </row>
    <row r="14" spans="1:10">
      <c r="A14" s="162" t="s">
        <v>150</v>
      </c>
      <c r="B14" s="163">
        <f>Projeções!G117+Projeções!G121+Projeções!G125+Projeções!G130+Projeções!G138+Projeções!G140</f>
        <v>17000109.093892131</v>
      </c>
      <c r="C14" s="163">
        <f>B14/(1+Parâmetros!E11)</f>
        <v>16335263.854993882</v>
      </c>
      <c r="D14" s="635"/>
      <c r="E14" s="163">
        <f>Projeções!H117+Projeções!H121+Projeções!H125+Projeções!H130+Projeções!H138+Projeções!H140</f>
        <v>21443112.377370797</v>
      </c>
      <c r="F14" s="163">
        <f>E14/((1+Parâmetros!E11)*(1+Parâmetros!F11))</f>
        <v>19808218.483468641</v>
      </c>
      <c r="G14" s="635"/>
      <c r="H14" s="164">
        <f>Projeções!I117+Projeções!I121+Projeções!I125+Projeções!I130+Projeções!I138+Projeções!I140</f>
        <v>23085826.904907614</v>
      </c>
      <c r="I14" s="164">
        <f>H14/((1+Parâmetros!E11)*(1+Parâmetros!F11)*(1+Parâmetros!G11))</f>
        <v>20517305.191242293</v>
      </c>
      <c r="J14" s="635"/>
    </row>
    <row r="15" spans="1:10">
      <c r="A15" s="162" t="s">
        <v>151</v>
      </c>
      <c r="B15" s="163">
        <f>B14-Projeções!G121-Projeções!G138</f>
        <v>17000109.093892131</v>
      </c>
      <c r="C15" s="163">
        <f>B15/(1+Parâmetros!E11)</f>
        <v>16335263.854993882</v>
      </c>
      <c r="D15" s="635"/>
      <c r="E15" s="163">
        <f>E14-Projeções!H121-Projeções!H138</f>
        <v>21443112.377370797</v>
      </c>
      <c r="F15" s="163">
        <f>E15/((1+Parâmetros!E11)*(1+Parâmetros!F11))</f>
        <v>19808218.483468641</v>
      </c>
      <c r="G15" s="635"/>
      <c r="H15" s="164">
        <f>H14-Projeções!I121-Projeções!I138</f>
        <v>23085826.904907614</v>
      </c>
      <c r="I15" s="164">
        <f>H15/((1+Parâmetros!E11)*(1+Parâmetros!F11)*(1+Parâmetros!G11))</f>
        <v>20517305.191242293</v>
      </c>
      <c r="J15" s="635"/>
    </row>
    <row r="16" spans="1:10">
      <c r="A16" s="162" t="s">
        <v>152</v>
      </c>
      <c r="B16" s="163">
        <f>B13-B15</f>
        <v>-3950137.1390533559</v>
      </c>
      <c r="C16" s="163">
        <f>C13-C15</f>
        <v>-3795654.0204221737</v>
      </c>
      <c r="D16" s="636"/>
      <c r="E16" s="163">
        <f>E13-E15</f>
        <v>-7476541.5199999996</v>
      </c>
      <c r="F16" s="163">
        <f>F13-F15</f>
        <v>-6906505.236859804</v>
      </c>
      <c r="G16" s="636"/>
      <c r="H16" s="164">
        <f>H13-H15</f>
        <v>-7976274.751443442</v>
      </c>
      <c r="I16" s="164">
        <f>I13-I15</f>
        <v>-7088836.975112902</v>
      </c>
      <c r="J16" s="636"/>
    </row>
    <row r="17" spans="1:10">
      <c r="A17" s="625" t="s">
        <v>794</v>
      </c>
      <c r="B17" s="625"/>
      <c r="C17" s="625"/>
      <c r="D17" s="625"/>
      <c r="E17" s="625"/>
      <c r="F17" s="625"/>
      <c r="G17" s="625"/>
      <c r="H17" s="625"/>
      <c r="I17" s="625"/>
      <c r="J17" s="625"/>
    </row>
    <row r="18" spans="1:10" s="77" customFormat="1" ht="15" customHeight="1">
      <c r="A18" s="165"/>
      <c r="B18" s="165"/>
      <c r="C18" s="165"/>
      <c r="D18" s="165"/>
      <c r="E18" s="165"/>
      <c r="F18" s="165"/>
      <c r="G18" s="165"/>
      <c r="H18" s="165"/>
      <c r="I18" s="165"/>
      <c r="J18" s="165"/>
    </row>
    <row r="19" spans="1:10">
      <c r="A19" s="166"/>
      <c r="B19" s="166"/>
      <c r="C19" s="166"/>
      <c r="D19" s="166"/>
      <c r="E19" s="166"/>
      <c r="F19" s="166"/>
      <c r="G19" s="166"/>
      <c r="H19" s="166"/>
      <c r="I19" s="166"/>
      <c r="J19" s="166"/>
    </row>
    <row r="20" spans="1:10">
      <c r="A20" s="166"/>
      <c r="B20" s="166"/>
      <c r="C20" s="166"/>
      <c r="D20" s="166"/>
      <c r="E20" s="166"/>
      <c r="F20" s="166"/>
      <c r="G20" s="166"/>
      <c r="H20" s="166"/>
      <c r="I20" s="166"/>
      <c r="J20" s="166"/>
    </row>
    <row r="21" spans="1:10">
      <c r="A21" s="166"/>
      <c r="B21" s="166"/>
      <c r="C21" s="166"/>
      <c r="D21" s="166"/>
      <c r="E21" s="166"/>
      <c r="F21" s="166"/>
      <c r="G21" s="166"/>
      <c r="H21" s="166"/>
      <c r="I21" s="166"/>
      <c r="J21" s="166"/>
    </row>
    <row r="22" spans="1:10">
      <c r="A22" s="166"/>
      <c r="B22" s="166"/>
      <c r="C22" s="166"/>
      <c r="D22" s="166"/>
      <c r="E22" s="166"/>
      <c r="F22" s="166"/>
      <c r="G22" s="166"/>
      <c r="H22" s="166"/>
      <c r="I22" s="166"/>
      <c r="J22" s="166"/>
    </row>
    <row r="23" spans="1:10">
      <c r="A23" s="166"/>
      <c r="B23" s="166"/>
      <c r="C23" s="166"/>
      <c r="D23" s="166"/>
      <c r="E23" s="166"/>
      <c r="F23" s="166"/>
      <c r="G23" s="166"/>
      <c r="H23" s="166"/>
      <c r="I23" s="166"/>
      <c r="J23" s="166"/>
    </row>
    <row r="24" spans="1:10">
      <c r="A24" s="166"/>
      <c r="B24" s="166"/>
      <c r="C24" s="166"/>
      <c r="D24" s="166"/>
      <c r="E24" s="166"/>
      <c r="F24" s="166"/>
      <c r="G24" s="166"/>
      <c r="H24" s="166"/>
      <c r="I24" s="166"/>
      <c r="J24" s="166"/>
    </row>
    <row r="25" spans="1:10">
      <c r="A25" s="166"/>
      <c r="B25" s="166"/>
      <c r="C25" s="166"/>
      <c r="D25" s="166"/>
      <c r="E25" s="166"/>
      <c r="F25" s="166"/>
      <c r="G25" s="166"/>
      <c r="H25" s="166"/>
      <c r="I25" s="166"/>
      <c r="J25" s="166"/>
    </row>
  </sheetData>
  <mergeCells count="16">
    <mergeCell ref="E7:G7"/>
    <mergeCell ref="H7:J7"/>
    <mergeCell ref="A17:J17"/>
    <mergeCell ref="A8:A11"/>
    <mergeCell ref="B8:D8"/>
    <mergeCell ref="E8:G8"/>
    <mergeCell ref="H8:J8"/>
    <mergeCell ref="A7:D7"/>
    <mergeCell ref="D12:D16"/>
    <mergeCell ref="G12:G16"/>
    <mergeCell ref="J12:J16"/>
    <mergeCell ref="A5:J5"/>
    <mergeCell ref="A1:J1"/>
    <mergeCell ref="A2:J2"/>
    <mergeCell ref="A3:J3"/>
    <mergeCell ref="A4:J4"/>
  </mergeCells>
  <phoneticPr fontId="25" type="noConversion"/>
  <pageMargins left="0.78740157480314965" right="0.78740157480314965" top="0.98425196850393704" bottom="0.98425196850393704" header="0.51181102362204722" footer="0.51181102362204722"/>
  <pageSetup scale="7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12"/>
  <dimension ref="A1:I19"/>
  <sheetViews>
    <sheetView view="pageBreakPreview" topLeftCell="A4" zoomScaleNormal="90" workbookViewId="0">
      <selection activeCell="E17" sqref="E17"/>
    </sheetView>
  </sheetViews>
  <sheetFormatPr defaultRowHeight="12.75"/>
  <cols>
    <col min="1" max="1" width="20.7109375" style="11" customWidth="1"/>
    <col min="2" max="2" width="17.28515625" style="11" customWidth="1"/>
    <col min="3" max="3" width="9.7109375" style="11" customWidth="1"/>
    <col min="4" max="4" width="10.5703125" style="11" customWidth="1"/>
    <col min="5" max="5" width="17.28515625" style="11" customWidth="1"/>
    <col min="6" max="6" width="9.7109375" style="11" customWidth="1"/>
    <col min="7" max="7" width="10.5703125" style="11" customWidth="1"/>
    <col min="8" max="8" width="16.85546875" style="11" customWidth="1"/>
    <col min="9" max="9" width="10.140625" style="11" customWidth="1"/>
    <col min="10" max="16384" width="9.140625" style="11"/>
  </cols>
  <sheetData>
    <row r="1" spans="1:9">
      <c r="A1" s="601" t="str">
        <f>Parâmetros!A7</f>
        <v>Município de : PORTÃO/RS</v>
      </c>
      <c r="B1" s="602"/>
      <c r="C1" s="602"/>
      <c r="D1" s="602"/>
      <c r="E1" s="602"/>
      <c r="F1" s="602"/>
      <c r="G1" s="602"/>
      <c r="H1" s="602"/>
      <c r="I1" s="603"/>
    </row>
    <row r="2" spans="1:9">
      <c r="A2" s="604" t="s">
        <v>36</v>
      </c>
      <c r="B2" s="602"/>
      <c r="C2" s="602"/>
      <c r="D2" s="602"/>
      <c r="E2" s="602"/>
      <c r="F2" s="602"/>
      <c r="G2" s="602"/>
      <c r="H2" s="602"/>
      <c r="I2" s="603"/>
    </row>
    <row r="3" spans="1:9">
      <c r="A3" s="604" t="str">
        <f>'Metas Cons'!A3:M3</f>
        <v>ANEXO DE METAS FISCAIS</v>
      </c>
      <c r="B3" s="602"/>
      <c r="C3" s="602"/>
      <c r="D3" s="602"/>
      <c r="E3" s="602"/>
      <c r="F3" s="602"/>
      <c r="G3" s="602"/>
      <c r="H3" s="602"/>
      <c r="I3" s="603"/>
    </row>
    <row r="4" spans="1:9">
      <c r="A4" s="605" t="s">
        <v>488</v>
      </c>
      <c r="B4" s="606"/>
      <c r="C4" s="606"/>
      <c r="D4" s="606"/>
      <c r="E4" s="606"/>
      <c r="F4" s="606"/>
      <c r="G4" s="606"/>
      <c r="H4" s="606"/>
      <c r="I4" s="607"/>
    </row>
    <row r="5" spans="1:9">
      <c r="A5" s="604" t="s">
        <v>598</v>
      </c>
      <c r="B5" s="602"/>
      <c r="C5" s="602"/>
      <c r="D5" s="602"/>
      <c r="E5" s="602"/>
      <c r="F5" s="602"/>
      <c r="G5" s="602"/>
      <c r="H5" s="602"/>
      <c r="I5" s="603"/>
    </row>
    <row r="6" spans="1:9">
      <c r="A6" s="604"/>
      <c r="B6" s="602"/>
      <c r="C6" s="602"/>
      <c r="D6" s="602"/>
      <c r="E6" s="602"/>
      <c r="F6" s="602"/>
      <c r="G6" s="602"/>
      <c r="H6" s="602"/>
      <c r="I6" s="603"/>
    </row>
    <row r="7" spans="1:9" ht="12.75" customHeight="1">
      <c r="A7" s="647" t="s">
        <v>498</v>
      </c>
      <c r="B7" s="648"/>
      <c r="C7" s="352"/>
      <c r="D7" s="352"/>
      <c r="E7" s="352"/>
      <c r="F7" s="352"/>
      <c r="G7" s="352"/>
      <c r="H7" s="588">
        <v>1</v>
      </c>
      <c r="I7" s="589"/>
    </row>
    <row r="8" spans="1:9" ht="10.5" customHeight="1">
      <c r="A8" s="640" t="s">
        <v>56</v>
      </c>
      <c r="B8" s="598" t="s">
        <v>116</v>
      </c>
      <c r="C8" s="598" t="s">
        <v>58</v>
      </c>
      <c r="D8" s="598" t="s">
        <v>389</v>
      </c>
      <c r="E8" s="598" t="s">
        <v>117</v>
      </c>
      <c r="F8" s="598" t="s">
        <v>58</v>
      </c>
      <c r="G8" s="598" t="s">
        <v>389</v>
      </c>
      <c r="H8" s="643" t="s">
        <v>74</v>
      </c>
      <c r="I8" s="644"/>
    </row>
    <row r="9" spans="1:9" ht="12.75" customHeight="1">
      <c r="A9" s="641"/>
      <c r="B9" s="599"/>
      <c r="C9" s="599"/>
      <c r="D9" s="599"/>
      <c r="E9" s="599"/>
      <c r="F9" s="599"/>
      <c r="G9" s="599"/>
      <c r="H9" s="645"/>
      <c r="I9" s="646"/>
    </row>
    <row r="10" spans="1:9" ht="22.5" customHeight="1">
      <c r="A10" s="642"/>
      <c r="B10" s="354" t="s">
        <v>599</v>
      </c>
      <c r="C10" s="600"/>
      <c r="D10" s="600"/>
      <c r="E10" s="355" t="s">
        <v>600</v>
      </c>
      <c r="F10" s="600"/>
      <c r="G10" s="600"/>
      <c r="H10" s="356" t="s">
        <v>118</v>
      </c>
      <c r="I10" s="353" t="s">
        <v>75</v>
      </c>
    </row>
    <row r="11" spans="1:9">
      <c r="A11" s="170" t="s">
        <v>39</v>
      </c>
      <c r="B11" s="171">
        <v>93233157.620000005</v>
      </c>
      <c r="C11" s="637" t="s">
        <v>628</v>
      </c>
      <c r="D11" s="357">
        <f>B11/RCL!B14</f>
        <v>1.3607671177183076</v>
      </c>
      <c r="E11" s="358">
        <f>Projeções!E105</f>
        <v>93232100.810000017</v>
      </c>
      <c r="F11" s="637" t="s">
        <v>628</v>
      </c>
      <c r="G11" s="172">
        <f>E11/RCL!B14</f>
        <v>1.360751693245573</v>
      </c>
      <c r="H11" s="359">
        <f t="shared" ref="H11:H18" si="0">E11-B11</f>
        <v>-1056.809999987483</v>
      </c>
      <c r="I11" s="360">
        <f t="shared" ref="I11:I18" si="1">IF(B11=0,"-",(H11/B11))</f>
        <v>-1.1335130408162646E-5</v>
      </c>
    </row>
    <row r="12" spans="1:9">
      <c r="A12" s="170" t="s">
        <v>123</v>
      </c>
      <c r="B12" s="171">
        <v>81084839.140000001</v>
      </c>
      <c r="C12" s="638"/>
      <c r="D12" s="357">
        <f>B12/RCL!B14</f>
        <v>1.1834586070430508</v>
      </c>
      <c r="E12" s="358">
        <f>E11-Projeções!E25-Projeções!E79-Projeções!E80-Projeções!E85</f>
        <v>81083782.330000028</v>
      </c>
      <c r="F12" s="638"/>
      <c r="G12" s="172">
        <f>E12/RCL!B14</f>
        <v>1.1834431825703167</v>
      </c>
      <c r="H12" s="359">
        <f t="shared" si="0"/>
        <v>-1056.8099999725819</v>
      </c>
      <c r="I12" s="360">
        <f t="shared" si="1"/>
        <v>-1.3033385910131828E-5</v>
      </c>
    </row>
    <row r="13" spans="1:9">
      <c r="A13" s="170" t="s">
        <v>40</v>
      </c>
      <c r="B13" s="171">
        <v>74446723.989999995</v>
      </c>
      <c r="C13" s="638"/>
      <c r="D13" s="357">
        <f>B13/RCL!B14</f>
        <v>1.0865732386791027</v>
      </c>
      <c r="E13" s="358">
        <f>Projeções!E141</f>
        <v>73226517.769999996</v>
      </c>
      <c r="F13" s="638"/>
      <c r="G13" s="172">
        <f>E13/RCL!B14</f>
        <v>1.0687639469700427</v>
      </c>
      <c r="H13" s="359">
        <f t="shared" si="0"/>
        <v>-1220206.2199999988</v>
      </c>
      <c r="I13" s="360">
        <f t="shared" si="1"/>
        <v>-1.639032793657787E-2</v>
      </c>
    </row>
    <row r="14" spans="1:9">
      <c r="A14" s="170" t="s">
        <v>124</v>
      </c>
      <c r="B14" s="171">
        <v>72119976.890000001</v>
      </c>
      <c r="C14" s="638"/>
      <c r="D14" s="357">
        <f>B14/RCL!B14</f>
        <v>1.0526136364758709</v>
      </c>
      <c r="E14" s="358">
        <f>E13-Projeções!E118-Projeções!E135-Projeções!E132</f>
        <v>70899770.670000002</v>
      </c>
      <c r="F14" s="638"/>
      <c r="G14" s="172">
        <f>E14/RCL!B14</f>
        <v>1.0348043447668109</v>
      </c>
      <c r="H14" s="359">
        <f t="shared" si="0"/>
        <v>-1220206.2199999988</v>
      </c>
      <c r="I14" s="360">
        <f t="shared" si="1"/>
        <v>-1.6919115515817505E-2</v>
      </c>
    </row>
    <row r="15" spans="1:9">
      <c r="A15" s="170" t="s">
        <v>76</v>
      </c>
      <c r="B15" s="361">
        <f>B12-B14</f>
        <v>8964862.25</v>
      </c>
      <c r="C15" s="638"/>
      <c r="D15" s="357">
        <f>B15/RCL!B14</f>
        <v>0.13084497056718009</v>
      </c>
      <c r="E15" s="361">
        <f>E12-E14</f>
        <v>10184011.660000026</v>
      </c>
      <c r="F15" s="638"/>
      <c r="G15" s="172">
        <f>E15/RCL!B14</f>
        <v>0.14863883780350581</v>
      </c>
      <c r="H15" s="359">
        <f t="shared" si="0"/>
        <v>1219149.4100000262</v>
      </c>
      <c r="I15" s="360">
        <f t="shared" si="1"/>
        <v>0.13599198470673948</v>
      </c>
    </row>
    <row r="16" spans="1:9" ht="15" customHeight="1">
      <c r="A16" s="170" t="s">
        <v>37</v>
      </c>
      <c r="B16" s="362">
        <v>-3318781.58</v>
      </c>
      <c r="C16" s="638"/>
      <c r="D16" s="357">
        <f>B16/RCL!B14</f>
        <v>-4.8438655948561775E-2</v>
      </c>
      <c r="E16" s="358"/>
      <c r="F16" s="638"/>
      <c r="G16" s="172">
        <f>E16/RCL!B14</f>
        <v>0</v>
      </c>
      <c r="H16" s="359">
        <f t="shared" si="0"/>
        <v>3318781.58</v>
      </c>
      <c r="I16" s="360">
        <f t="shared" si="1"/>
        <v>-1</v>
      </c>
    </row>
    <row r="17" spans="1:9" ht="27" customHeight="1">
      <c r="A17" s="170" t="s">
        <v>77</v>
      </c>
      <c r="B17" s="362">
        <v>1560483.86</v>
      </c>
      <c r="C17" s="638"/>
      <c r="D17" s="357">
        <f>B17/RCL!B14</f>
        <v>2.2775750372768924E-2</v>
      </c>
      <c r="E17" s="358">
        <f>Dívida!C7</f>
        <v>1560483.86</v>
      </c>
      <c r="F17" s="638"/>
      <c r="G17" s="172">
        <f>E17/RCL!B14</f>
        <v>2.2775750372768924E-2</v>
      </c>
      <c r="H17" s="359">
        <f t="shared" si="0"/>
        <v>0</v>
      </c>
      <c r="I17" s="360">
        <f t="shared" si="1"/>
        <v>0</v>
      </c>
    </row>
    <row r="18" spans="1:9" ht="28.5" customHeight="1">
      <c r="A18" s="170" t="s">
        <v>78</v>
      </c>
      <c r="B18" s="362">
        <v>-9611949.25</v>
      </c>
      <c r="C18" s="639"/>
      <c r="D18" s="357">
        <f>B18/RCL!B14</f>
        <v>-0.14028940787232716</v>
      </c>
      <c r="E18" s="358">
        <f>Dívida!C15</f>
        <v>-9387661.9300000016</v>
      </c>
      <c r="F18" s="639"/>
      <c r="G18" s="172">
        <f>E18/RCL!B14</f>
        <v>-0.1370158642343319</v>
      </c>
      <c r="H18" s="359">
        <f t="shared" si="0"/>
        <v>224287.31999999844</v>
      </c>
      <c r="I18" s="360">
        <f t="shared" si="1"/>
        <v>-2.3334218082768012E-2</v>
      </c>
    </row>
    <row r="19" spans="1:9">
      <c r="A19" s="590" t="s">
        <v>795</v>
      </c>
      <c r="B19" s="590"/>
      <c r="C19" s="590"/>
      <c r="D19" s="590"/>
      <c r="E19" s="590"/>
      <c r="F19" s="590"/>
      <c r="G19" s="590"/>
      <c r="H19" s="590"/>
      <c r="I19" s="590"/>
    </row>
  </sheetData>
  <mergeCells count="19">
    <mergeCell ref="A19:I19"/>
    <mergeCell ref="H7:I7"/>
    <mergeCell ref="A8:A10"/>
    <mergeCell ref="B8:B9"/>
    <mergeCell ref="E8:E9"/>
    <mergeCell ref="H8:I9"/>
    <mergeCell ref="A7:B7"/>
    <mergeCell ref="C8:C10"/>
    <mergeCell ref="A1:I1"/>
    <mergeCell ref="A2:I2"/>
    <mergeCell ref="A3:I3"/>
    <mergeCell ref="A4:I4"/>
    <mergeCell ref="C11:C18"/>
    <mergeCell ref="F11:F18"/>
    <mergeCell ref="F8:F10"/>
    <mergeCell ref="D8:D10"/>
    <mergeCell ref="G8:G10"/>
    <mergeCell ref="A5:I5"/>
    <mergeCell ref="A6:I6"/>
  </mergeCells>
  <phoneticPr fontId="25" type="noConversion"/>
  <pageMargins left="0.78740157480314965" right="0.78740157480314965" top="0.98425196850393704" bottom="0.98425196850393704" header="0.51181102362204722" footer="0.51181102362204722"/>
  <pageSetup paperSize="9" scale="66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20</vt:i4>
      </vt:variant>
      <vt:variant>
        <vt:lpstr>Intervalos nomeados</vt:lpstr>
      </vt:variant>
      <vt:variant>
        <vt:i4>4</vt:i4>
      </vt:variant>
    </vt:vector>
  </HeadingPairs>
  <TitlesOfParts>
    <vt:vector size="24" baseType="lpstr">
      <vt:lpstr>Parâmetros</vt:lpstr>
      <vt:lpstr>Projeções</vt:lpstr>
      <vt:lpstr>RCL</vt:lpstr>
      <vt:lpstr>Pessoal</vt:lpstr>
      <vt:lpstr>Dívida</vt:lpstr>
      <vt:lpstr>RPrim-Nom</vt:lpstr>
      <vt:lpstr>Metas Cons</vt:lpstr>
      <vt:lpstr>MetasRPPS</vt:lpstr>
      <vt:lpstr> Avaliação</vt:lpstr>
      <vt:lpstr>Comparação</vt:lpstr>
      <vt:lpstr> Patrimônio</vt:lpstr>
      <vt:lpstr> Alienação</vt:lpstr>
      <vt:lpstr>RPPS-Financeiro</vt:lpstr>
      <vt:lpstr>Renúncia</vt:lpstr>
      <vt:lpstr>DOCC</vt:lpstr>
      <vt:lpstr>DOCC(alternativa)</vt:lpstr>
      <vt:lpstr>Anexo Riscos</vt:lpstr>
      <vt:lpstr>Anexo III - Metas e Prioridades</vt:lpstr>
      <vt:lpstr>Anexo IV - Consdo Patrimônio</vt:lpstr>
      <vt:lpstr>Plan1</vt:lpstr>
      <vt:lpstr>Parâmetros!Area_de_impressao</vt:lpstr>
      <vt:lpstr>Projeções!Area_de_impressao</vt:lpstr>
      <vt:lpstr>'Anexo III - Metas e Prioridades'!OLE_LINK1</vt:lpstr>
      <vt:lpstr>'Anexo III - Metas e Prioridades'!OLE_LINK2</vt:lpstr>
    </vt:vector>
  </TitlesOfParts>
  <Company>DPM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de Metas e Riscos Fiscais</dc:title>
  <dc:creator>Lourenço de Wallau - Deleg de Prefeituras Municipais</dc:creator>
  <cp:lastModifiedBy>marelise</cp:lastModifiedBy>
  <cp:lastPrinted>2018-09-05T14:04:04Z</cp:lastPrinted>
  <dcterms:created xsi:type="dcterms:W3CDTF">2000-07-04T17:38:30Z</dcterms:created>
  <dcterms:modified xsi:type="dcterms:W3CDTF">2018-11-16T18:51:35Z</dcterms:modified>
</cp:coreProperties>
</file>